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hbfile1\data$\Operations\Finance\BUDGET\15-16 wrk\PHAC\"/>
    </mc:Choice>
  </mc:AlternateContent>
  <bookViews>
    <workbookView xWindow="990" yWindow="15" windowWidth="15480" windowHeight="11640"/>
  </bookViews>
  <sheets>
    <sheet name="Budget Worksheet" sheetId="1" r:id="rId1"/>
    <sheet name="Sheet1" sheetId="4" r:id="rId2"/>
  </sheets>
  <definedNames>
    <definedName name="_xlnm.Print_Area" localSheetId="0">'Budget Worksheet'!$A$1:$S$22</definedName>
    <definedName name="_xlnm.Print_Titles" localSheetId="0">'Budget Worksheet'!$1:$2</definedName>
  </definedNames>
  <calcPr calcId="152511"/>
</workbook>
</file>

<file path=xl/calcChain.xml><?xml version="1.0" encoding="utf-8"?>
<calcChain xmlns="http://schemas.openxmlformats.org/spreadsheetml/2006/main">
  <c r="S6" i="1" l="1"/>
  <c r="S5" i="1"/>
  <c r="S4" i="1"/>
  <c r="S3" i="1"/>
  <c r="S11" i="1"/>
  <c r="S10" i="1"/>
  <c r="S9" i="1"/>
  <c r="S8" i="1"/>
  <c r="S16" i="1"/>
  <c r="S15" i="1"/>
  <c r="S14" i="1"/>
  <c r="S13" i="1"/>
  <c r="S19" i="1"/>
  <c r="S17" i="1"/>
  <c r="S21" i="1"/>
  <c r="Q22" i="1" l="1"/>
  <c r="N22" i="1"/>
  <c r="L22" i="1"/>
  <c r="K22" i="1"/>
  <c r="I22" i="1"/>
  <c r="G22" i="1"/>
  <c r="F19" i="1" l="1"/>
  <c r="F22" i="1" s="1"/>
  <c r="K29" i="1" s="1"/>
  <c r="J14" i="1" l="1"/>
  <c r="J22" i="1" s="1"/>
  <c r="K30" i="1" s="1"/>
  <c r="M6" i="1" l="1"/>
  <c r="M22" i="1" s="1"/>
  <c r="K31" i="1" s="1"/>
  <c r="H19" i="1"/>
  <c r="H22" i="1" s="1"/>
  <c r="K32" i="1" s="1"/>
  <c r="P19" i="1"/>
  <c r="P3" i="1"/>
  <c r="P4" i="1"/>
  <c r="P5" i="1"/>
  <c r="P14" i="1"/>
  <c r="P16" i="1"/>
  <c r="P22" i="1" l="1"/>
  <c r="K33" i="1" s="1"/>
  <c r="O10" i="1"/>
  <c r="O11" i="1"/>
  <c r="O9" i="1"/>
  <c r="O8" i="1"/>
  <c r="O19" i="1"/>
  <c r="O22" i="1" l="1"/>
  <c r="K34" i="1" s="1"/>
  <c r="K35" i="1" s="1"/>
  <c r="Q26" i="1"/>
  <c r="K24" i="1" l="1"/>
  <c r="L24" i="1"/>
  <c r="L25" i="1" l="1"/>
  <c r="F25" i="1"/>
  <c r="R25" i="1" l="1"/>
  <c r="F24" i="1"/>
  <c r="K23" i="1"/>
  <c r="J24" i="1"/>
  <c r="R24" i="1" l="1"/>
  <c r="J23" i="1"/>
  <c r="R6" i="1"/>
  <c r="R5" i="1"/>
  <c r="R4" i="1"/>
  <c r="R13" i="1"/>
  <c r="R17" i="1"/>
  <c r="R16" i="1"/>
  <c r="R21" i="1"/>
  <c r="L31" i="1" s="1"/>
  <c r="M23" i="1"/>
  <c r="R14" i="1" l="1"/>
  <c r="R11" i="1"/>
  <c r="R10" i="1"/>
  <c r="R15" i="1"/>
  <c r="L30" i="1" s="1"/>
  <c r="R9" i="1"/>
  <c r="R3" i="1"/>
  <c r="L33" i="1" l="1"/>
  <c r="L29" i="1"/>
  <c r="F23" i="1"/>
  <c r="R23" i="1" s="1"/>
  <c r="R19" i="1"/>
  <c r="L32" i="1" s="1"/>
  <c r="R8" i="1"/>
  <c r="L35" i="1" l="1"/>
  <c r="R22" i="1"/>
  <c r="L26" i="1"/>
  <c r="AB16" i="1"/>
  <c r="AB11" i="1"/>
  <c r="AB3" i="1"/>
  <c r="AB6" i="1"/>
  <c r="AB13" i="1"/>
  <c r="AB4" i="1"/>
  <c r="AB14" i="1"/>
  <c r="AB5" i="1"/>
  <c r="AB15" i="1"/>
  <c r="AB10" i="1"/>
  <c r="K26" i="1"/>
  <c r="AA13" i="1"/>
  <c r="AA4" i="1"/>
  <c r="AA14" i="1"/>
  <c r="AA5" i="1"/>
  <c r="AA15" i="1"/>
  <c r="AA10" i="1"/>
  <c r="AA16" i="1"/>
  <c r="AA11" i="1"/>
  <c r="AA3" i="1"/>
  <c r="AA6" i="1"/>
  <c r="W15" i="1" l="1"/>
  <c r="W10" i="1"/>
  <c r="W16" i="1"/>
  <c r="W11" i="1"/>
  <c r="W3" i="1"/>
  <c r="W6" i="1"/>
  <c r="W13" i="1"/>
  <c r="W4" i="1"/>
  <c r="W14" i="1"/>
  <c r="W5" i="1"/>
  <c r="Y14" i="1"/>
  <c r="Y5" i="1"/>
  <c r="Y13" i="1"/>
  <c r="Y4" i="1"/>
  <c r="Y15" i="1"/>
  <c r="Y10" i="1"/>
  <c r="Y16" i="1"/>
  <c r="Y11" i="1"/>
  <c r="Y3" i="1"/>
  <c r="Y6" i="1"/>
  <c r="I26" i="1"/>
  <c r="AC16" i="1"/>
  <c r="AC14" i="1"/>
  <c r="AC11" i="1"/>
  <c r="AC5" i="1"/>
  <c r="AC3" i="1"/>
  <c r="AC15" i="1"/>
  <c r="AC13" i="1"/>
  <c r="AC10" i="1"/>
  <c r="AC4" i="1"/>
  <c r="AC6" i="1"/>
  <c r="M26" i="1"/>
  <c r="Z13" i="1"/>
  <c r="Z4" i="1"/>
  <c r="Z6" i="1"/>
  <c r="Z5" i="1"/>
  <c r="Z3" i="1"/>
  <c r="Z16" i="1"/>
  <c r="Z11" i="1"/>
  <c r="Z15" i="1"/>
  <c r="Z10" i="1"/>
  <c r="Z14" i="1"/>
  <c r="J26" i="1"/>
  <c r="P26" i="1"/>
  <c r="O26" i="1"/>
  <c r="F26" i="1" l="1"/>
  <c r="V16" i="1"/>
  <c r="V11" i="1"/>
  <c r="V3" i="1"/>
  <c r="V10" i="1"/>
  <c r="V6" i="1"/>
  <c r="V13" i="1"/>
  <c r="V4" i="1"/>
  <c r="V14" i="1"/>
  <c r="V5" i="1"/>
  <c r="V15" i="1"/>
  <c r="R26" i="1" l="1"/>
  <c r="X3" i="1"/>
  <c r="X15" i="1"/>
  <c r="X14" i="1"/>
  <c r="X13" i="1"/>
  <c r="X11" i="1"/>
  <c r="X10" i="1"/>
  <c r="X5" i="1"/>
  <c r="X4" i="1"/>
  <c r="X6" i="1"/>
  <c r="X16" i="1"/>
  <c r="H26" i="1"/>
</calcChain>
</file>

<file path=xl/sharedStrings.xml><?xml version="1.0" encoding="utf-8"?>
<sst xmlns="http://schemas.openxmlformats.org/spreadsheetml/2006/main" count="88" uniqueCount="81">
  <si>
    <t>Preservation</t>
  </si>
  <si>
    <t>Homebuyer Financial Assistance</t>
  </si>
  <si>
    <t>Tax Exemption &amp; Fee Waiver Programs</t>
  </si>
  <si>
    <t>Shelter &amp; Emergency Services</t>
  </si>
  <si>
    <t>Investment</t>
  </si>
  <si>
    <t>Administration &amp; Support</t>
  </si>
  <si>
    <t>Home
Repair</t>
  </si>
  <si>
    <t>Economic
Opportunity</t>
  </si>
  <si>
    <t>New
Construction</t>
  </si>
  <si>
    <t>Supportive
Housing</t>
  </si>
  <si>
    <t>Healthy
Homes</t>
  </si>
  <si>
    <t>Services</t>
  </si>
  <si>
    <t>Preservation of expiring Section 8 projects; preservation projects include acquisition and rehabilitation</t>
  </si>
  <si>
    <t>Housing Inv. Fund</t>
  </si>
  <si>
    <t>TIF</t>
  </si>
  <si>
    <t>Total</t>
  </si>
  <si>
    <t>% of Total</t>
  </si>
  <si>
    <t>grand total</t>
  </si>
  <si>
    <t>Financial assistance for the construction of new rental and homeowner affordable housing units.</t>
  </si>
  <si>
    <t>CDBG</t>
  </si>
  <si>
    <t>HOME</t>
  </si>
  <si>
    <t>Ongoing General Fund</t>
  </si>
  <si>
    <t>Section 108</t>
  </si>
  <si>
    <t>Federal &amp; Other Sources</t>
  </si>
  <si>
    <t>CDBG Admin &amp; Planning</t>
  </si>
  <si>
    <t>CDBG Public Service</t>
  </si>
  <si>
    <t>target</t>
  </si>
  <si>
    <t>reduction amount</t>
  </si>
  <si>
    <t>HOME Admin</t>
  </si>
  <si>
    <t>Homebuyer &amp;
Foreclosure
Education / Counseling</t>
  </si>
  <si>
    <t>cross-functional team suggestions</t>
  </si>
  <si>
    <t>programmatic cuts</t>
  </si>
  <si>
    <t>N/A</t>
  </si>
  <si>
    <t>Short-term rent assistance and other costs to prevent homelessness among households facing temporary crisis, as well as short-term housing placement rent assistance.  Programs funded in this category include short term rent assistance and facility based rent assistance.</t>
  </si>
  <si>
    <t>Financial assistance to help homeowners refinance and renovate their homes; also down payment assistance loans for homebuyers.  This category includes funding for down payment assistance/repair loans as well as contracts for community based non profits to educate the community about these financial resources.</t>
  </si>
  <si>
    <t>Administration of limited tax exemption programs for single and multi-family residences, system development charge waivers, and Mortgage Credit Certificate program.  These programs help facilitate the development of single family homes and multi family projects as well as individual homeowners.</t>
  </si>
  <si>
    <t>Staffing and operation of year-round and winter emergency housing programs for men, women and youth, including facility-based transitional housing, youth funds passed through to Multnomah Co.  These emergency housing programs not only provide shelter but all have improved housing placements outcomes as a result of better systems coordination.</t>
  </si>
  <si>
    <t>Provides free or low-cost culturally-sensitive homebuyer education and foreclosure counseling services to prepare households to become homeowners or prevent forclosure.  Programs funded in this category incude education and counseling to potential homebuyers including how to engage with banks for 1st mortgages and what down payment assistance programs may be available.</t>
  </si>
  <si>
    <t>Proportional amount of CDBG</t>
  </si>
  <si>
    <t>Rehabilitation &amp; Asset Management</t>
  </si>
  <si>
    <t>- # of units preserved: 306
- # rent-restricted units preserved (by MFI)
   0-30%: 305    31-50%: 0   51-60%: 0
   61-80%: 0   81+%: 1
-M/W/ESB Utilization Rate: 36%</t>
  </si>
  <si>
    <t>- # of units rehabilitated: 57
- # rent-restricted units rehabilitated (by MFI) 0-30%: 11    31-50%: 26   51-60%: 20 61-80%: 0   81+%: 0
-M/W/ESB Utilization Rate: 29%</t>
  </si>
  <si>
    <t>- # of units added: 243
- # rent-restricted units added (by MFI) 0-30%: 44; 31-50%: 142
51-60%: 56    61-80%: 0: 81+%: 1
-M/W/ESB Utilization Rate: 23%</t>
  </si>
  <si>
    <t>- # of units rehabilitated: 363
- # rent-restricted units rehabilitated (by MFI) 0-30%: 316; 31-50%: 26;          51-60%: 20; 61-80%: 0; 81+%: 1
-% minority current housing portofolio: 28%
-M/W/ESB Utilization Rate: 34%</t>
  </si>
  <si>
    <t>- # of new households served: 1,928
- # of households receiving ongoing service: 303
- 6-month retention rate: 89%
- 12-month retention rate: 77%
-% minority: 59%</t>
  </si>
  <si>
    <t>- # of new households served: 70
- # of households receiving ongoing service: 220
- 6-month retention rate: 87%
- 12-month retention rate: 80%
-% minority: 38%</t>
  </si>
  <si>
    <t>- # of households assisted: 241
- % Minority: 48%
- MFI of households assisted: 227 households %&lt;50%</t>
  </si>
  <si>
    <t>- # of households receiving home repair loans: 21
-% minority: 23%
- # of elderly/disabled household mini-rehab: 1,273
-% minority: 49%</t>
  </si>
  <si>
    <t>- # of households receiving homebuyer education &amp; counseling: 2,194
-Number of households receiving homebuyer education/counseling purchasing homes: 345
-% minority (education and counseling): 39%</t>
  </si>
  <si>
    <t xml:space="preserve">- # of households who received financial assistance: 19
-MFI of Household Purchasing Homes &lt;50%: 3; 51-80%: 16; 81+%: 0
-% minority: 54%
</t>
  </si>
  <si>
    <t>- # of homeownership units assisted by limited tax exemptions: 138
-% minority: 60%
- # of units assisted by system development charge waivers: 142
-% minority: 58%</t>
  </si>
  <si>
    <t xml:space="preserve">- # of new households receiving emergency shelter service: 2,038
- % households served placed in permanent housing: 38%
- % minority: 37%
</t>
  </si>
  <si>
    <t xml:space="preserve">- # of new households receiving  hoursing related information and education referral services: 50,511
</t>
  </si>
  <si>
    <t>- # of subrecipient contracts processed: 92
-# of Housing Assets Monitored: 315
-Admin costs as % of Bureau Level Budget: 8%</t>
  </si>
  <si>
    <t>FY 2014-15 Adopted Funding</t>
  </si>
  <si>
    <t>One-Time General Fund</t>
  </si>
  <si>
    <t>Impacts (Source: FY 2013-14 Bureau Dashboard)</t>
  </si>
  <si>
    <t xml:space="preserve">Remediation of environmental health hazards in homes that may impact occupant health (lead hazards and structural safety issues).  Programs funded in this category include contracts with non-profit organizations to make these repairs on homes. </t>
  </si>
  <si>
    <t>Loans (up to $15,000) and grants (up to $5,000) to provide critical home repairs (roof repairs, furnaces, dry rot, and structural safety issues) to elderly and disabled households. Programs funded in this category include contracts with non-profit organizations to make accessibility improvements that allow seniors to stay in their homes.</t>
  </si>
  <si>
    <t>Housing
Development
&amp; Finance Support</t>
  </si>
  <si>
    <t xml:space="preserve">Investments that complement new construction, preservation and rehabilitation.  Programs/projects funded in this category include project support for non-profit community development partners, Section 108 payments to HUD, and funds for HOME Consortium partners. </t>
  </si>
  <si>
    <t>CDBG funds passed through to PDC to support work-force and micro-enterprise projects.</t>
  </si>
  <si>
    <t>Financial assistance for the repair and renovation of existing rental and homeowner affordable housing units, including debt restructure and asset management.</t>
  </si>
  <si>
    <t>This program provides support to low income households by helping to identify and remove barriers to safe, stable housing. Programs funded in this category include include benefits acquisition, 211 Info, Street Roots, and tenant education.</t>
  </si>
  <si>
    <t>GF</t>
  </si>
  <si>
    <t>HIF</t>
  </si>
  <si>
    <t>FED</t>
  </si>
  <si>
    <t>Housing Access &amp; Stabilization</t>
  </si>
  <si>
    <t>Homeowner Access &amp; Retention</t>
  </si>
  <si>
    <t>Economic Opportunity</t>
  </si>
  <si>
    <t>Housing Production &amp; Preservation</t>
  </si>
  <si>
    <t>FY 2014-15 Ranking</t>
  </si>
  <si>
    <t>FY 2015-16 Ranking</t>
  </si>
  <si>
    <t>Service Area</t>
  </si>
  <si>
    <t>Housing Investment Production &amp; Preservation</t>
  </si>
  <si>
    <t>Housing Access &amp; Retention</t>
  </si>
  <si>
    <t>Indirect costs of bureau operations, including communications, compliance, director's office, resource development, finance, IT, policy &amp; planning, fair housing, public information &amp; involvement, and outreach.  Also includes bureau-specific costs passed along by other City agencies.</t>
  </si>
  <si>
    <t>Homeownership Access &amp; Retention</t>
  </si>
  <si>
    <t>Homeless Prevention &amp; Rapid
Re-housing</t>
  </si>
  <si>
    <t>Workforce &amp; Microenterprise</t>
  </si>
  <si>
    <t>Limited-term rent assistance (up to 24 mos.) and services primarily for chronically homeless individuals and families with disabilities.  Programs funded in this category include mental health outreach/housing placement, housing placement and supportive services, supportive services for persons with HIV/AIDS, and street outreach/placement/retention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</si>
</sst>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9"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12"/>
      <name val="Calibri"/>
      <family val="2"/>
      <scheme val="minor"/>
    </font>
    <font>
      <sz val="12"/>
      <name val="Calibri"/>
      <family val="2"/>
    </font>
    <font>
      <b/>
      <sz val="1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249977111117893"/>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0.49998474074526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22">
    <xf numFmtId="0" fontId="0" fillId="0" borderId="0" xfId="0"/>
    <xf numFmtId="0" fontId="1" fillId="0" borderId="0" xfId="0" applyFont="1"/>
    <xf numFmtId="0" fontId="1" fillId="0" borderId="0" xfId="0" applyFont="1" applyBorder="1" applyAlignment="1">
      <alignment wrapText="1"/>
    </xf>
    <xf numFmtId="164" fontId="1" fillId="0" borderId="0" xfId="1" applyNumberFormat="1" applyFont="1"/>
    <xf numFmtId="0" fontId="3" fillId="2" borderId="10" xfId="0" applyFont="1" applyFill="1" applyBorder="1" applyAlignment="1">
      <alignment horizontal="center" wrapText="1"/>
    </xf>
    <xf numFmtId="0" fontId="3" fillId="2" borderId="10" xfId="0" applyFont="1" applyFill="1" applyBorder="1" applyAlignment="1">
      <alignment horizontal="center"/>
    </xf>
    <xf numFmtId="0" fontId="3" fillId="0" borderId="13" xfId="0" applyFont="1" applyBorder="1" applyAlignment="1">
      <alignment horizontal="center" vertical="center" wrapText="1"/>
    </xf>
    <xf numFmtId="0" fontId="3" fillId="2" borderId="15" xfId="0" applyFont="1" applyFill="1" applyBorder="1" applyAlignment="1">
      <alignment horizontal="center"/>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xf numFmtId="0" fontId="4" fillId="0" borderId="2" xfId="0" applyFont="1" applyBorder="1" applyAlignment="1">
      <alignment horizontal="left"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xf numFmtId="0" fontId="3" fillId="0" borderId="18" xfId="0" applyFont="1" applyBorder="1" applyAlignment="1">
      <alignment horizontal="center" vertical="center" wrapText="1"/>
    </xf>
    <xf numFmtId="0" fontId="4" fillId="0" borderId="20" xfId="0" applyFont="1" applyBorder="1" applyAlignment="1">
      <alignment horizontal="left" vertical="center" wrapText="1"/>
    </xf>
    <xf numFmtId="0" fontId="3" fillId="2" borderId="15" xfId="0" applyFont="1" applyFill="1" applyBorder="1" applyAlignment="1">
      <alignment horizontal="center" wrapText="1"/>
    </xf>
    <xf numFmtId="6" fontId="4" fillId="0" borderId="7" xfId="0" applyNumberFormat="1" applyFont="1" applyBorder="1" applyAlignment="1">
      <alignment horizontal="center" vertical="center"/>
    </xf>
    <xf numFmtId="6" fontId="4" fillId="0" borderId="4" xfId="0" applyNumberFormat="1" applyFont="1" applyBorder="1" applyAlignment="1">
      <alignment horizontal="center" vertical="center"/>
    </xf>
    <xf numFmtId="6" fontId="4" fillId="0" borderId="2" xfId="0" applyNumberFormat="1" applyFont="1" applyBorder="1" applyAlignment="1">
      <alignment horizontal="center" vertical="center"/>
    </xf>
    <xf numFmtId="6" fontId="4" fillId="0" borderId="5" xfId="0" applyNumberFormat="1" applyFont="1" applyBorder="1" applyAlignment="1">
      <alignment horizontal="center" vertical="center"/>
    </xf>
    <xf numFmtId="6" fontId="4" fillId="0" borderId="16" xfId="0" applyNumberFormat="1" applyFont="1" applyBorder="1" applyAlignment="1">
      <alignment horizontal="center" vertical="center"/>
    </xf>
    <xf numFmtId="6" fontId="4" fillId="0" borderId="6" xfId="0" applyNumberFormat="1" applyFont="1" applyBorder="1" applyAlignment="1">
      <alignment horizontal="center" vertical="center"/>
    </xf>
    <xf numFmtId="6" fontId="4" fillId="0" borderId="20" xfId="0" applyNumberFormat="1" applyFont="1" applyBorder="1" applyAlignment="1">
      <alignment horizontal="center" vertical="center"/>
    </xf>
    <xf numFmtId="6" fontId="4" fillId="0" borderId="21" xfId="0" applyNumberFormat="1" applyFont="1" applyBorder="1" applyAlignment="1">
      <alignment horizontal="center" vertical="center"/>
    </xf>
    <xf numFmtId="6" fontId="4" fillId="0" borderId="16" xfId="2" applyNumberFormat="1" applyFont="1" applyBorder="1" applyAlignment="1">
      <alignment horizontal="center" vertical="center"/>
    </xf>
    <xf numFmtId="6" fontId="4" fillId="0" borderId="3" xfId="2" applyNumberFormat="1" applyFont="1" applyBorder="1" applyAlignment="1">
      <alignment horizontal="center" vertical="center"/>
    </xf>
    <xf numFmtId="0" fontId="5" fillId="3" borderId="1" xfId="0" applyFont="1" applyFill="1" applyBorder="1" applyAlignment="1">
      <alignment wrapText="1"/>
    </xf>
    <xf numFmtId="5" fontId="5" fillId="3" borderId="1" xfId="2" applyNumberFormat="1" applyFont="1" applyFill="1" applyBorder="1" applyAlignment="1">
      <alignment horizontal="center" vertical="center"/>
    </xf>
    <xf numFmtId="0" fontId="0" fillId="2" borderId="0" xfId="0" applyFill="1" applyBorder="1"/>
    <xf numFmtId="0" fontId="6" fillId="0" borderId="16" xfId="0" applyFont="1" applyBorder="1" applyAlignment="1">
      <alignment horizontal="left" vertical="center" wrapText="1"/>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NumberFormat="1" applyFont="1" applyBorder="1" applyAlignment="1">
      <alignment horizontal="left" vertical="center" wrapText="1"/>
    </xf>
    <xf numFmtId="5" fontId="0" fillId="0" borderId="0" xfId="0" applyNumberFormat="1"/>
    <xf numFmtId="165" fontId="0" fillId="0" borderId="0" xfId="2" applyNumberFormat="1" applyFont="1"/>
    <xf numFmtId="165" fontId="0" fillId="0" borderId="0" xfId="0" applyNumberFormat="1"/>
    <xf numFmtId="6" fontId="4" fillId="0" borderId="6" xfId="2" applyNumberFormat="1" applyFont="1" applyBorder="1" applyAlignment="1">
      <alignment horizontal="center" vertical="center"/>
    </xf>
    <xf numFmtId="6" fontId="4" fillId="0" borderId="22" xfId="0" applyNumberFormat="1" applyFont="1" applyBorder="1" applyAlignment="1">
      <alignment horizontal="center" vertical="center"/>
    </xf>
    <xf numFmtId="6" fontId="3" fillId="0" borderId="5" xfId="0" applyNumberFormat="1" applyFont="1" applyBorder="1" applyAlignment="1">
      <alignment horizontal="center" vertical="center"/>
    </xf>
    <xf numFmtId="165" fontId="3" fillId="4" borderId="1" xfId="2" applyNumberFormat="1" applyFont="1" applyFill="1" applyBorder="1" applyAlignment="1">
      <alignment horizontal="center"/>
    </xf>
    <xf numFmtId="165" fontId="8" fillId="4" borderId="1" xfId="2" applyNumberFormat="1" applyFont="1" applyFill="1" applyBorder="1" applyAlignment="1">
      <alignment horizontal="center" vertical="center"/>
    </xf>
    <xf numFmtId="165" fontId="5" fillId="5" borderId="1" xfId="0" applyNumberFormat="1" applyFont="1" applyFill="1" applyBorder="1"/>
    <xf numFmtId="0" fontId="5" fillId="3" borderId="1" xfId="0" applyFont="1" applyFill="1" applyBorder="1" applyAlignment="1">
      <alignment horizontal="right" wrapText="1" indent="1"/>
    </xf>
    <xf numFmtId="0" fontId="3" fillId="4" borderId="1" xfId="0" applyFont="1" applyFill="1" applyBorder="1" applyAlignment="1">
      <alignment horizontal="right" wrapText="1"/>
    </xf>
    <xf numFmtId="0" fontId="5" fillId="5" borderId="1" xfId="0" applyFont="1" applyFill="1" applyBorder="1" applyAlignment="1">
      <alignment horizontal="right" wrapText="1"/>
    </xf>
    <xf numFmtId="0" fontId="3" fillId="6" borderId="1" xfId="0" applyFont="1" applyFill="1" applyBorder="1" applyAlignment="1">
      <alignment horizontal="right" wrapText="1"/>
    </xf>
    <xf numFmtId="165" fontId="3" fillId="6" borderId="1" xfId="2" applyNumberFormat="1" applyFont="1" applyFill="1" applyBorder="1" applyAlignment="1">
      <alignment horizontal="center"/>
    </xf>
    <xf numFmtId="0" fontId="3" fillId="6" borderId="1" xfId="0" applyFont="1" applyFill="1" applyBorder="1" applyAlignment="1">
      <alignment horizontal="center"/>
    </xf>
    <xf numFmtId="165" fontId="8" fillId="6" borderId="1" xfId="2" applyNumberFormat="1" applyFont="1" applyFill="1" applyBorder="1" applyAlignment="1">
      <alignment horizontal="center" vertical="center"/>
    </xf>
    <xf numFmtId="0" fontId="3" fillId="7" borderId="1" xfId="0" applyFont="1" applyFill="1" applyBorder="1" applyAlignment="1">
      <alignment horizontal="right" wrapText="1"/>
    </xf>
    <xf numFmtId="165" fontId="3" fillId="7" borderId="1" xfId="2" applyNumberFormat="1" applyFont="1" applyFill="1" applyBorder="1" applyAlignment="1">
      <alignment horizontal="center"/>
    </xf>
    <xf numFmtId="0" fontId="3" fillId="7" borderId="1" xfId="0" applyFont="1" applyFill="1" applyBorder="1" applyAlignment="1">
      <alignment horizontal="center"/>
    </xf>
    <xf numFmtId="165" fontId="8" fillId="7" borderId="1" xfId="2" applyNumberFormat="1" applyFont="1" applyFill="1" applyBorder="1" applyAlignment="1">
      <alignment horizontal="center" vertical="center"/>
    </xf>
    <xf numFmtId="0" fontId="3" fillId="4" borderId="1" xfId="0" applyFont="1" applyFill="1" applyBorder="1" applyAlignment="1">
      <alignment wrapText="1"/>
    </xf>
    <xf numFmtId="0" fontId="3" fillId="6" borderId="1" xfId="0" applyFont="1" applyFill="1" applyBorder="1" applyAlignment="1">
      <alignment wrapText="1"/>
    </xf>
    <xf numFmtId="0" fontId="3" fillId="7" borderId="1" xfId="0" applyFont="1" applyFill="1" applyBorder="1" applyAlignment="1">
      <alignment wrapText="1"/>
    </xf>
    <xf numFmtId="0" fontId="5" fillId="5" borderId="1" xfId="0" applyFont="1" applyFill="1" applyBorder="1" applyAlignment="1">
      <alignment wrapText="1"/>
    </xf>
    <xf numFmtId="0" fontId="3" fillId="4" borderId="1" xfId="0" applyFont="1" applyFill="1" applyBorder="1"/>
    <xf numFmtId="0" fontId="3" fillId="6" borderId="1" xfId="0" applyFont="1" applyFill="1" applyBorder="1"/>
    <xf numFmtId="0" fontId="3" fillId="7" borderId="1" xfId="0" applyFont="1" applyFill="1" applyBorder="1"/>
    <xf numFmtId="0" fontId="5" fillId="5" borderId="1" xfId="0" applyFont="1" applyFill="1" applyBorder="1"/>
    <xf numFmtId="0" fontId="3" fillId="2" borderId="23" xfId="0" applyFont="1" applyFill="1" applyBorder="1" applyAlignment="1">
      <alignment horizontal="center" wrapText="1"/>
    </xf>
    <xf numFmtId="10" fontId="0" fillId="0" borderId="0" xfId="3" applyNumberFormat="1" applyFont="1"/>
    <xf numFmtId="0" fontId="3" fillId="2" borderId="11" xfId="0" applyFont="1" applyFill="1" applyBorder="1" applyAlignment="1">
      <alignment horizontal="center" wrapText="1"/>
    </xf>
    <xf numFmtId="6" fontId="4" fillId="0" borderId="24" xfId="0" applyNumberFormat="1" applyFont="1" applyBorder="1" applyAlignment="1">
      <alignment horizontal="center" vertical="center"/>
    </xf>
    <xf numFmtId="6" fontId="4" fillId="0" borderId="8" xfId="0" applyNumberFormat="1" applyFont="1" applyBorder="1" applyAlignment="1">
      <alignment horizontal="center" vertical="center"/>
    </xf>
    <xf numFmtId="6" fontId="4" fillId="0" borderId="14" xfId="0" applyNumberFormat="1" applyFont="1" applyBorder="1" applyAlignment="1">
      <alignment horizontal="center" vertical="center"/>
    </xf>
    <xf numFmtId="6" fontId="4" fillId="0" borderId="0" xfId="0" applyNumberFormat="1" applyFont="1" applyBorder="1" applyAlignment="1">
      <alignment horizontal="center" vertical="center"/>
    </xf>
    <xf numFmtId="6" fontId="4" fillId="0" borderId="25" xfId="2" applyNumberFormat="1" applyFont="1" applyBorder="1" applyAlignment="1">
      <alignment horizontal="center" vertical="center"/>
    </xf>
    <xf numFmtId="6" fontId="4" fillId="0" borderId="26" xfId="0" applyNumberFormat="1" applyFont="1" applyBorder="1" applyAlignment="1">
      <alignment horizontal="center" vertical="center"/>
    </xf>
    <xf numFmtId="6" fontId="0" fillId="0" borderId="0" xfId="0" applyNumberFormat="1"/>
    <xf numFmtId="0" fontId="3" fillId="8" borderId="18" xfId="0" applyFont="1" applyFill="1" applyBorder="1" applyAlignment="1">
      <alignment horizontal="center" vertical="center" wrapText="1"/>
    </xf>
    <xf numFmtId="0" fontId="4" fillId="8" borderId="20" xfId="0" applyFont="1" applyFill="1" applyBorder="1" applyAlignment="1">
      <alignment horizontal="left" vertical="center" wrapText="1"/>
    </xf>
    <xf numFmtId="6" fontId="4" fillId="8" borderId="20" xfId="0" applyNumberFormat="1" applyFont="1" applyFill="1" applyBorder="1" applyAlignment="1">
      <alignment horizontal="center" vertical="center"/>
    </xf>
    <xf numFmtId="6" fontId="4" fillId="8" borderId="0" xfId="0" applyNumberFormat="1" applyFont="1" applyFill="1" applyBorder="1" applyAlignment="1">
      <alignment horizontal="center" vertical="center"/>
    </xf>
    <xf numFmtId="6" fontId="4" fillId="8" borderId="21" xfId="0" applyNumberFormat="1" applyFont="1" applyFill="1" applyBorder="1" applyAlignment="1">
      <alignment horizontal="center" vertical="center"/>
    </xf>
    <xf numFmtId="6" fontId="3" fillId="8" borderId="5" xfId="0" applyNumberFormat="1" applyFont="1" applyFill="1" applyBorder="1" applyAlignment="1">
      <alignment horizontal="center" vertical="center"/>
    </xf>
    <xf numFmtId="0" fontId="3" fillId="8" borderId="13" xfId="0" applyFont="1" applyFill="1" applyBorder="1" applyAlignment="1">
      <alignment horizontal="center" vertical="center" wrapText="1"/>
    </xf>
    <xf numFmtId="0" fontId="6" fillId="8" borderId="7" xfId="0" applyFont="1" applyFill="1" applyBorder="1" applyAlignment="1">
      <alignment horizontal="left" vertical="center" wrapText="1"/>
    </xf>
    <xf numFmtId="6" fontId="4" fillId="8" borderId="7" xfId="0" applyNumberFormat="1" applyFont="1" applyFill="1" applyBorder="1" applyAlignment="1">
      <alignment horizontal="center" vertical="center"/>
    </xf>
    <xf numFmtId="6" fontId="4" fillId="8" borderId="24" xfId="0" applyNumberFormat="1" applyFont="1" applyFill="1" applyBorder="1" applyAlignment="1">
      <alignment horizontal="center" vertical="center"/>
    </xf>
    <xf numFmtId="6" fontId="4" fillId="8" borderId="4" xfId="0" applyNumberFormat="1" applyFont="1" applyFill="1" applyBorder="1" applyAlignment="1">
      <alignment horizontal="center" vertical="center"/>
    </xf>
    <xf numFmtId="6" fontId="4" fillId="8" borderId="6" xfId="0" applyNumberFormat="1" applyFont="1" applyFill="1" applyBorder="1" applyAlignment="1">
      <alignment horizontal="center" vertical="center"/>
    </xf>
    <xf numFmtId="166" fontId="3" fillId="4" borderId="0" xfId="3" applyNumberFormat="1" applyFont="1" applyFill="1"/>
    <xf numFmtId="166" fontId="3" fillId="6" borderId="0" xfId="3" applyNumberFormat="1" applyFont="1" applyFill="1"/>
    <xf numFmtId="166" fontId="3" fillId="7" borderId="0" xfId="3" applyNumberFormat="1" applyFont="1" applyFill="1"/>
    <xf numFmtId="166" fontId="5" fillId="5" borderId="0" xfId="3" applyNumberFormat="1" applyFont="1" applyFill="1"/>
    <xf numFmtId="166" fontId="0" fillId="0" borderId="0" xfId="3" applyNumberFormat="1" applyFont="1"/>
    <xf numFmtId="0" fontId="4" fillId="8" borderId="20" xfId="0" applyNumberFormat="1" applyFont="1" applyFill="1" applyBorder="1" applyAlignment="1">
      <alignment horizontal="left" vertical="center" wrapText="1"/>
    </xf>
    <xf numFmtId="6" fontId="4" fillId="8" borderId="20" xfId="2" applyNumberFormat="1" applyFont="1" applyFill="1" applyBorder="1" applyAlignment="1">
      <alignment horizontal="center" vertical="center"/>
    </xf>
    <xf numFmtId="6" fontId="4" fillId="8" borderId="27" xfId="2" applyNumberFormat="1" applyFont="1" applyFill="1" applyBorder="1" applyAlignment="1">
      <alignment horizontal="center" vertical="center"/>
    </xf>
    <xf numFmtId="6" fontId="4" fillId="8" borderId="28" xfId="2" applyNumberFormat="1" applyFont="1" applyFill="1" applyBorder="1" applyAlignment="1">
      <alignment horizontal="center" vertical="center"/>
    </xf>
    <xf numFmtId="6" fontId="4" fillId="8" borderId="21" xfId="2" applyNumberFormat="1" applyFont="1" applyFill="1" applyBorder="1" applyAlignment="1">
      <alignment horizontal="center" vertical="center"/>
    </xf>
    <xf numFmtId="6" fontId="3" fillId="0" borderId="21" xfId="0" applyNumberFormat="1" applyFont="1" applyBorder="1" applyAlignment="1">
      <alignment horizontal="center" vertical="center"/>
    </xf>
    <xf numFmtId="6" fontId="3" fillId="0" borderId="1" xfId="0" applyNumberFormat="1" applyFont="1" applyBorder="1" applyAlignment="1">
      <alignment horizontal="center" vertical="center"/>
    </xf>
    <xf numFmtId="0" fontId="3" fillId="0" borderId="21" xfId="0" applyFont="1" applyBorder="1" applyAlignment="1">
      <alignment wrapText="1"/>
    </xf>
    <xf numFmtId="0" fontId="0" fillId="0" borderId="21" xfId="0" applyBorder="1"/>
    <xf numFmtId="0" fontId="0" fillId="8" borderId="21" xfId="0" applyFill="1" applyBorder="1"/>
    <xf numFmtId="0" fontId="3" fillId="0" borderId="21" xfId="0" applyFont="1" applyBorder="1" applyAlignment="1">
      <alignment vertical="top" wrapText="1"/>
    </xf>
    <xf numFmtId="0" fontId="1" fillId="8" borderId="21" xfId="0" applyFont="1" applyFill="1" applyBorder="1" applyAlignment="1">
      <alignment vertical="top" wrapText="1"/>
    </xf>
    <xf numFmtId="0" fontId="1" fillId="0" borderId="21" xfId="0" applyFont="1" applyBorder="1" applyAlignment="1">
      <alignment vertical="top" wrapText="1"/>
    </xf>
    <xf numFmtId="0" fontId="3" fillId="0" borderId="6" xfId="0" applyFont="1" applyBorder="1" applyAlignment="1">
      <alignment horizontal="left" vertical="top" wrapText="1"/>
    </xf>
    <xf numFmtId="0" fontId="3" fillId="8" borderId="21" xfId="0" applyFont="1" applyFill="1" applyBorder="1" applyAlignment="1">
      <alignment horizontal="left" vertical="top" wrapText="1"/>
    </xf>
    <xf numFmtId="0" fontId="3" fillId="0" borderId="5" xfId="0" applyFont="1" applyBorder="1" applyAlignment="1">
      <alignment horizontal="left" vertical="top" wrapText="1"/>
    </xf>
    <xf numFmtId="166" fontId="3" fillId="0" borderId="1" xfId="3" applyNumberFormat="1" applyFont="1" applyBorder="1" applyAlignment="1">
      <alignment horizontal="center" vertical="center"/>
    </xf>
    <xf numFmtId="166" fontId="3" fillId="0" borderId="30" xfId="3" applyNumberFormat="1" applyFont="1" applyBorder="1" applyAlignment="1">
      <alignment horizontal="center" vertical="center"/>
    </xf>
    <xf numFmtId="166" fontId="3" fillId="8" borderId="29" xfId="3" applyNumberFormat="1" applyFont="1" applyFill="1" applyBorder="1" applyAlignment="1">
      <alignment horizontal="center" vertical="center"/>
    </xf>
    <xf numFmtId="0" fontId="1" fillId="2" borderId="32" xfId="0" applyFont="1" applyFill="1" applyBorder="1" applyAlignment="1">
      <alignment horizontal="center"/>
    </xf>
    <xf numFmtId="0" fontId="7" fillId="0" borderId="33" xfId="1" quotePrefix="1" applyNumberFormat="1" applyFont="1" applyBorder="1" applyAlignment="1">
      <alignment horizontal="left" vertical="top" wrapText="1"/>
    </xf>
    <xf numFmtId="0" fontId="7" fillId="8" borderId="33" xfId="1" quotePrefix="1" applyNumberFormat="1" applyFont="1" applyFill="1" applyBorder="1" applyAlignment="1">
      <alignment horizontal="left" vertical="top" wrapText="1"/>
    </xf>
    <xf numFmtId="0" fontId="0" fillId="0" borderId="33" xfId="0" quotePrefix="1" applyBorder="1" applyAlignment="1">
      <alignment vertical="top" wrapText="1"/>
    </xf>
    <xf numFmtId="0" fontId="7" fillId="8" borderId="26" xfId="1" quotePrefix="1" applyNumberFormat="1" applyFont="1" applyFill="1" applyBorder="1" applyAlignment="1">
      <alignment horizontal="left" vertical="top" wrapText="1"/>
    </xf>
    <xf numFmtId="0" fontId="0" fillId="0" borderId="26" xfId="0" applyBorder="1" applyAlignment="1">
      <alignment vertical="center"/>
    </xf>
    <xf numFmtId="0" fontId="5" fillId="3" borderId="33" xfId="0" applyFont="1" applyFill="1" applyBorder="1"/>
    <xf numFmtId="166" fontId="3" fillId="2" borderId="31" xfId="3" applyNumberFormat="1" applyFont="1" applyFill="1" applyBorder="1" applyAlignment="1">
      <alignment horizontal="center" wrapText="1"/>
    </xf>
    <xf numFmtId="166" fontId="3" fillId="8" borderId="28" xfId="3" applyNumberFormat="1" applyFont="1" applyFill="1" applyBorder="1" applyAlignment="1">
      <alignment vertical="center"/>
    </xf>
    <xf numFmtId="166" fontId="3" fillId="8" borderId="3" xfId="3" applyNumberFormat="1" applyFont="1" applyFill="1" applyBorder="1" applyAlignment="1">
      <alignment vertical="center"/>
    </xf>
    <xf numFmtId="166" fontId="5" fillId="3" borderId="29" xfId="3" applyNumberFormat="1" applyFont="1" applyFill="1" applyBorder="1"/>
    <xf numFmtId="0" fontId="1" fillId="2" borderId="9"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zoomScaleNormal="100" workbookViewId="0">
      <selection activeCell="A5" sqref="A5"/>
    </sheetView>
  </sheetViews>
  <sheetFormatPr defaultRowHeight="15" x14ac:dyDescent="0.25"/>
  <cols>
    <col min="1" max="1" width="16.140625" customWidth="1"/>
    <col min="2" max="2" width="18" style="1" customWidth="1"/>
    <col min="3" max="3" width="11.28515625" style="1" hidden="1" customWidth="1"/>
    <col min="4" max="4" width="0.7109375" style="1" hidden="1" customWidth="1"/>
    <col min="5" max="5" width="89.85546875" style="1" customWidth="1"/>
    <col min="6" max="6" width="14.140625" bestFit="1" customWidth="1"/>
    <col min="7" max="7" width="14.140625" customWidth="1"/>
    <col min="8" max="9" width="13.28515625" customWidth="1"/>
    <col min="10" max="10" width="13.5703125" bestFit="1" customWidth="1"/>
    <col min="11" max="11" width="12.7109375" bestFit="1" customWidth="1"/>
    <col min="12" max="12" width="12.85546875" bestFit="1" customWidth="1"/>
    <col min="13" max="15" width="13.28515625" customWidth="1"/>
    <col min="16" max="16" width="14.42578125" customWidth="1"/>
    <col min="17" max="17" width="11.42578125" hidden="1" customWidth="1"/>
    <col min="18" max="18" width="14" bestFit="1" customWidth="1"/>
    <col min="19" max="19" width="6.7109375" style="88" customWidth="1"/>
    <col min="20" max="20" width="65.85546875" hidden="1" customWidth="1"/>
    <col min="22" max="29" width="0" hidden="1" customWidth="1"/>
  </cols>
  <sheetData>
    <row r="1" spans="1:31" ht="15.75" thickBot="1" x14ac:dyDescent="0.3">
      <c r="F1" s="119" t="s">
        <v>54</v>
      </c>
      <c r="G1" s="120"/>
      <c r="H1" s="120"/>
      <c r="I1" s="120"/>
      <c r="J1" s="120"/>
      <c r="K1" s="120"/>
      <c r="L1" s="120"/>
      <c r="M1" s="120"/>
      <c r="N1" s="120"/>
      <c r="O1" s="120"/>
      <c r="P1" s="120"/>
      <c r="Q1" s="120"/>
      <c r="R1" s="120"/>
      <c r="S1" s="121"/>
      <c r="T1" s="29"/>
    </row>
    <row r="2" spans="1:31" ht="48.75" customHeight="1" thickBot="1" x14ac:dyDescent="0.3">
      <c r="A2" s="5" t="s">
        <v>73</v>
      </c>
      <c r="B2" s="5" t="s">
        <v>4</v>
      </c>
      <c r="C2" s="62" t="s">
        <v>71</v>
      </c>
      <c r="D2" s="62" t="s">
        <v>72</v>
      </c>
      <c r="E2" s="7" t="s">
        <v>11</v>
      </c>
      <c r="F2" s="16" t="s">
        <v>21</v>
      </c>
      <c r="G2" s="64" t="s">
        <v>55</v>
      </c>
      <c r="H2" s="4" t="s">
        <v>13</v>
      </c>
      <c r="I2" s="4" t="s">
        <v>22</v>
      </c>
      <c r="J2" s="4" t="s">
        <v>19</v>
      </c>
      <c r="K2" s="4" t="s">
        <v>24</v>
      </c>
      <c r="L2" s="4" t="s">
        <v>25</v>
      </c>
      <c r="M2" s="4" t="s">
        <v>20</v>
      </c>
      <c r="N2" s="4" t="s">
        <v>28</v>
      </c>
      <c r="O2" s="4" t="s">
        <v>23</v>
      </c>
      <c r="P2" s="4" t="s">
        <v>14</v>
      </c>
      <c r="Q2" s="4"/>
      <c r="R2" s="4" t="s">
        <v>15</v>
      </c>
      <c r="S2" s="115" t="s">
        <v>16</v>
      </c>
      <c r="T2" s="108" t="s">
        <v>56</v>
      </c>
    </row>
    <row r="3" spans="1:31" ht="64.5" customHeight="1" x14ac:dyDescent="0.25">
      <c r="A3" s="96" t="s">
        <v>74</v>
      </c>
      <c r="B3" s="6" t="s">
        <v>0</v>
      </c>
      <c r="C3" s="6">
        <v>2</v>
      </c>
      <c r="D3" s="6"/>
      <c r="E3" s="8" t="s">
        <v>12</v>
      </c>
      <c r="F3" s="17"/>
      <c r="G3" s="65"/>
      <c r="H3" s="18"/>
      <c r="I3" s="18"/>
      <c r="J3" s="18">
        <v>6606845</v>
      </c>
      <c r="K3" s="18"/>
      <c r="L3" s="18"/>
      <c r="M3" s="18"/>
      <c r="N3" s="18"/>
      <c r="O3" s="18"/>
      <c r="P3" s="18">
        <f>3800000+4923346+417828</f>
        <v>9141174</v>
      </c>
      <c r="Q3" s="18"/>
      <c r="R3" s="39">
        <f t="shared" ref="R3:R21" si="0">SUM(F3:Q3)</f>
        <v>15748019</v>
      </c>
      <c r="S3" s="106">
        <f t="shared" ref="S3:S6" si="1">R3/R$22</f>
        <v>0.15470559618526403</v>
      </c>
      <c r="T3" s="109" t="s">
        <v>40</v>
      </c>
      <c r="V3" s="63">
        <f>F3/F$22</f>
        <v>0</v>
      </c>
      <c r="W3" s="63" t="e">
        <f>#REF!/#REF!</f>
        <v>#REF!</v>
      </c>
      <c r="X3" s="63">
        <f t="shared" ref="X3:AC6" si="2">H3/H$22</f>
        <v>0</v>
      </c>
      <c r="Y3" s="63">
        <f t="shared" si="2"/>
        <v>0</v>
      </c>
      <c r="Z3" s="63">
        <f t="shared" si="2"/>
        <v>0.52549380834146142</v>
      </c>
      <c r="AA3" s="63">
        <f t="shared" si="2"/>
        <v>0</v>
      </c>
      <c r="AB3" s="63">
        <f t="shared" si="2"/>
        <v>0</v>
      </c>
      <c r="AC3" s="63">
        <f t="shared" si="2"/>
        <v>0</v>
      </c>
    </row>
    <row r="4" spans="1:31" ht="51" customHeight="1" x14ac:dyDescent="0.25">
      <c r="A4" s="97"/>
      <c r="B4" s="6" t="s">
        <v>39</v>
      </c>
      <c r="C4" s="6">
        <v>3</v>
      </c>
      <c r="D4" s="6"/>
      <c r="E4" s="8" t="s">
        <v>62</v>
      </c>
      <c r="F4" s="17"/>
      <c r="G4" s="65"/>
      <c r="H4" s="18">
        <v>1012182</v>
      </c>
      <c r="I4" s="18">
        <v>3515000</v>
      </c>
      <c r="J4" s="18">
        <v>1905408</v>
      </c>
      <c r="K4" s="18"/>
      <c r="L4" s="18"/>
      <c r="M4" s="18">
        <v>4418909</v>
      </c>
      <c r="N4" s="18"/>
      <c r="O4" s="18"/>
      <c r="P4" s="18">
        <f>40638+10692+49889+80790+4716+50807+24275+1588929+54612</f>
        <v>1905348</v>
      </c>
      <c r="Q4" s="18"/>
      <c r="R4" s="39">
        <f t="shared" si="0"/>
        <v>12756847</v>
      </c>
      <c r="S4" s="105">
        <f t="shared" si="1"/>
        <v>0.12532088134889835</v>
      </c>
      <c r="T4" s="109" t="s">
        <v>41</v>
      </c>
      <c r="V4" s="63">
        <f>F4/F$22</f>
        <v>0</v>
      </c>
      <c r="W4" s="63" t="e">
        <f>#REF!/#REF!</f>
        <v>#REF!</v>
      </c>
      <c r="X4" s="63">
        <f t="shared" si="2"/>
        <v>0.4266608327495201</v>
      </c>
      <c r="Y4" s="63">
        <f t="shared" si="2"/>
        <v>0.4865051903114187</v>
      </c>
      <c r="Z4" s="63">
        <f t="shared" si="2"/>
        <v>0.15155192930427266</v>
      </c>
      <c r="AA4" s="63">
        <f t="shared" si="2"/>
        <v>0</v>
      </c>
      <c r="AB4" s="63">
        <f t="shared" si="2"/>
        <v>0</v>
      </c>
      <c r="AC4" s="63">
        <f t="shared" si="2"/>
        <v>0.70243812567399844</v>
      </c>
    </row>
    <row r="5" spans="1:31" ht="34.5" customHeight="1" x14ac:dyDescent="0.25">
      <c r="A5" s="97"/>
      <c r="B5" s="6" t="s">
        <v>8</v>
      </c>
      <c r="C5" s="6">
        <v>1</v>
      </c>
      <c r="D5" s="6"/>
      <c r="E5" s="8" t="s">
        <v>18</v>
      </c>
      <c r="F5" s="17"/>
      <c r="G5" s="65"/>
      <c r="H5" s="18"/>
      <c r="I5" s="18">
        <v>3710000</v>
      </c>
      <c r="J5" s="18">
        <v>104896</v>
      </c>
      <c r="K5" s="18"/>
      <c r="L5" s="18"/>
      <c r="M5" s="18">
        <v>786027</v>
      </c>
      <c r="N5" s="18"/>
      <c r="O5" s="18"/>
      <c r="P5" s="18">
        <f>822500+12727024+3032086+4378686+316956+37566+16405462</f>
        <v>37720280</v>
      </c>
      <c r="Q5" s="18"/>
      <c r="R5" s="39">
        <f t="shared" si="0"/>
        <v>42321203</v>
      </c>
      <c r="S5" s="105">
        <f t="shared" si="1"/>
        <v>0.41575559068049034</v>
      </c>
      <c r="T5" s="109" t="s">
        <v>42</v>
      </c>
      <c r="V5" s="63">
        <f>F5/F$22</f>
        <v>0</v>
      </c>
      <c r="W5" s="63" t="e">
        <f>#REF!/#REF!</f>
        <v>#REF!</v>
      </c>
      <c r="X5" s="63">
        <f t="shared" si="2"/>
        <v>0</v>
      </c>
      <c r="Y5" s="63">
        <f t="shared" si="2"/>
        <v>0.5134948096885813</v>
      </c>
      <c r="Z5" s="63">
        <f t="shared" si="2"/>
        <v>8.3431953556933666E-3</v>
      </c>
      <c r="AA5" s="63">
        <f t="shared" si="2"/>
        <v>0</v>
      </c>
      <c r="AB5" s="63">
        <f t="shared" si="2"/>
        <v>0</v>
      </c>
      <c r="AC5" s="63">
        <f t="shared" si="2"/>
        <v>0.12494833738580177</v>
      </c>
    </row>
    <row r="6" spans="1:31" ht="71.25" customHeight="1" x14ac:dyDescent="0.25">
      <c r="A6" s="97"/>
      <c r="B6" s="11" t="s">
        <v>59</v>
      </c>
      <c r="C6" s="11">
        <v>4</v>
      </c>
      <c r="D6" s="11"/>
      <c r="E6" s="10" t="s">
        <v>60</v>
      </c>
      <c r="F6" s="19"/>
      <c r="G6" s="66"/>
      <c r="H6" s="20">
        <v>70000</v>
      </c>
      <c r="I6" s="20"/>
      <c r="J6" s="20">
        <v>530000</v>
      </c>
      <c r="K6" s="20"/>
      <c r="L6" s="20"/>
      <c r="M6" s="20">
        <f>786200-23920</f>
        <v>762280</v>
      </c>
      <c r="N6" s="20">
        <v>23920</v>
      </c>
      <c r="O6" s="20"/>
      <c r="P6" s="20"/>
      <c r="Q6" s="20"/>
      <c r="R6" s="39">
        <f t="shared" si="0"/>
        <v>1386200</v>
      </c>
      <c r="S6" s="105">
        <f t="shared" si="1"/>
        <v>1.3617769792633155E-2</v>
      </c>
      <c r="T6" s="109" t="s">
        <v>43</v>
      </c>
      <c r="V6" s="63">
        <f>F6/F$22</f>
        <v>0</v>
      </c>
      <c r="W6" s="63" t="e">
        <f>#REF!/#REF!</f>
        <v>#REF!</v>
      </c>
      <c r="X6" s="63">
        <f t="shared" si="2"/>
        <v>2.9506806377179604E-2</v>
      </c>
      <c r="Y6" s="63">
        <f t="shared" si="2"/>
        <v>0</v>
      </c>
      <c r="Z6" s="63">
        <f t="shared" si="2"/>
        <v>4.2155025344317074E-2</v>
      </c>
      <c r="AA6" s="63">
        <f t="shared" si="2"/>
        <v>0</v>
      </c>
      <c r="AB6" s="63">
        <f t="shared" si="2"/>
        <v>0</v>
      </c>
      <c r="AC6" s="63">
        <f t="shared" si="2"/>
        <v>0.1211734693877551</v>
      </c>
      <c r="AD6" s="63"/>
      <c r="AE6" s="63"/>
    </row>
    <row r="7" spans="1:31" ht="15.75" x14ac:dyDescent="0.25">
      <c r="A7" s="98"/>
      <c r="B7" s="72"/>
      <c r="C7" s="72"/>
      <c r="D7" s="72"/>
      <c r="E7" s="73"/>
      <c r="F7" s="74"/>
      <c r="G7" s="75"/>
      <c r="H7" s="76"/>
      <c r="I7" s="76"/>
      <c r="J7" s="76"/>
      <c r="K7" s="76"/>
      <c r="L7" s="76"/>
      <c r="M7" s="76"/>
      <c r="N7" s="76"/>
      <c r="O7" s="76"/>
      <c r="P7" s="76"/>
      <c r="Q7" s="76"/>
      <c r="R7" s="77"/>
      <c r="S7" s="116"/>
      <c r="T7" s="110"/>
      <c r="V7" s="63"/>
      <c r="W7" s="63"/>
      <c r="X7" s="63"/>
      <c r="Y7" s="63"/>
      <c r="Z7" s="63"/>
      <c r="AA7" s="63"/>
      <c r="AB7" s="63"/>
      <c r="AC7" s="63"/>
      <c r="AD7" s="63"/>
      <c r="AE7" s="63"/>
    </row>
    <row r="8" spans="1:31" ht="63" x14ac:dyDescent="0.25">
      <c r="A8" s="99" t="s">
        <v>75</v>
      </c>
      <c r="B8" s="12" t="s">
        <v>3</v>
      </c>
      <c r="C8" s="12">
        <v>12</v>
      </c>
      <c r="D8" s="12"/>
      <c r="E8" s="30" t="s">
        <v>36</v>
      </c>
      <c r="F8" s="21">
        <v>3185703</v>
      </c>
      <c r="G8" s="67"/>
      <c r="H8" s="22"/>
      <c r="I8" s="22"/>
      <c r="J8" s="22"/>
      <c r="K8" s="22"/>
      <c r="L8" s="22">
        <v>894120</v>
      </c>
      <c r="M8" s="22"/>
      <c r="N8" s="22"/>
      <c r="O8" s="22">
        <f>18036+135000</f>
        <v>153036</v>
      </c>
      <c r="P8" s="22"/>
      <c r="Q8" s="22"/>
      <c r="R8" s="39">
        <f>SUM(F8:Q8)</f>
        <v>4232859</v>
      </c>
      <c r="S8" s="105">
        <f t="shared" ref="S8:S11" si="3">R8/R$22</f>
        <v>4.1582815918825122E-2</v>
      </c>
      <c r="T8" s="109" t="s">
        <v>51</v>
      </c>
      <c r="V8" s="63"/>
      <c r="W8" s="63"/>
      <c r="X8" s="63"/>
      <c r="Y8" s="63"/>
      <c r="Z8" s="63"/>
      <c r="AA8" s="63"/>
      <c r="AB8" s="63"/>
      <c r="AC8" s="63"/>
      <c r="AD8" s="63"/>
      <c r="AE8" s="63"/>
    </row>
    <row r="9" spans="1:31" ht="51.75" customHeight="1" x14ac:dyDescent="0.25">
      <c r="A9" s="97"/>
      <c r="B9" s="11" t="s">
        <v>67</v>
      </c>
      <c r="C9" s="11">
        <v>13</v>
      </c>
      <c r="D9" s="11"/>
      <c r="E9" s="32" t="s">
        <v>63</v>
      </c>
      <c r="F9" s="19">
        <v>529386</v>
      </c>
      <c r="G9" s="66"/>
      <c r="H9" s="20">
        <v>40000</v>
      </c>
      <c r="I9" s="20"/>
      <c r="J9" s="20"/>
      <c r="K9" s="20">
        <v>30000</v>
      </c>
      <c r="L9" s="20">
        <v>34126</v>
      </c>
      <c r="M9" s="20"/>
      <c r="N9" s="20"/>
      <c r="O9" s="20">
        <f>13524+31289</f>
        <v>44813</v>
      </c>
      <c r="P9" s="20"/>
      <c r="Q9" s="20"/>
      <c r="R9" s="39">
        <f>SUM(F9:Q9)</f>
        <v>678325</v>
      </c>
      <c r="S9" s="105">
        <f t="shared" si="3"/>
        <v>6.6637380569815937E-3</v>
      </c>
      <c r="T9" s="109" t="s">
        <v>52</v>
      </c>
      <c r="V9" s="63"/>
      <c r="W9" s="63"/>
      <c r="X9" s="63"/>
      <c r="Y9" s="63"/>
      <c r="Z9" s="63"/>
      <c r="AA9" s="63"/>
      <c r="AB9" s="63"/>
      <c r="AC9" s="63"/>
      <c r="AD9" s="63"/>
      <c r="AE9" s="63"/>
    </row>
    <row r="10" spans="1:31" ht="66.75" customHeight="1" x14ac:dyDescent="0.25">
      <c r="A10" s="97"/>
      <c r="B10" s="12" t="s">
        <v>78</v>
      </c>
      <c r="C10" s="12">
        <v>5</v>
      </c>
      <c r="D10" s="12"/>
      <c r="E10" s="30" t="s">
        <v>33</v>
      </c>
      <c r="F10" s="21">
        <v>2948355</v>
      </c>
      <c r="G10" s="67"/>
      <c r="H10" s="22"/>
      <c r="I10" s="22"/>
      <c r="J10" s="22"/>
      <c r="K10" s="22"/>
      <c r="L10" s="22"/>
      <c r="M10" s="22">
        <v>323600</v>
      </c>
      <c r="N10" s="22">
        <v>62000</v>
      </c>
      <c r="O10" s="22">
        <f>33866+229868</f>
        <v>263734</v>
      </c>
      <c r="P10" s="22"/>
      <c r="Q10" s="22"/>
      <c r="R10" s="39">
        <f t="shared" si="0"/>
        <v>3597689</v>
      </c>
      <c r="S10" s="105">
        <f t="shared" si="3"/>
        <v>3.5343024518459519E-2</v>
      </c>
      <c r="T10" s="109" t="s">
        <v>44</v>
      </c>
      <c r="V10" s="63">
        <f>F10/F$22</f>
        <v>0.24539995001035833</v>
      </c>
      <c r="W10" s="63" t="e">
        <f>#REF!/#REF!</f>
        <v>#REF!</v>
      </c>
      <c r="X10" s="63">
        <f t="shared" ref="X10:AC11" si="4">H10/H$22</f>
        <v>0</v>
      </c>
      <c r="Y10" s="63">
        <f t="shared" si="4"/>
        <v>0</v>
      </c>
      <c r="Z10" s="63">
        <f t="shared" si="4"/>
        <v>0</v>
      </c>
      <c r="AA10" s="63">
        <f t="shared" si="4"/>
        <v>0</v>
      </c>
      <c r="AB10" s="63">
        <f t="shared" si="4"/>
        <v>0</v>
      </c>
      <c r="AC10" s="63">
        <f t="shared" si="4"/>
        <v>5.1440067552444707E-2</v>
      </c>
    </row>
    <row r="11" spans="1:31" ht="68.25" customHeight="1" x14ac:dyDescent="0.25">
      <c r="A11" s="97"/>
      <c r="B11" s="6" t="s">
        <v>9</v>
      </c>
      <c r="C11" s="6">
        <v>6</v>
      </c>
      <c r="D11" s="6"/>
      <c r="E11" s="31" t="s">
        <v>80</v>
      </c>
      <c r="F11" s="17">
        <v>4019824</v>
      </c>
      <c r="G11" s="65"/>
      <c r="H11" s="18"/>
      <c r="I11" s="18"/>
      <c r="J11" s="18"/>
      <c r="K11" s="18"/>
      <c r="L11" s="18">
        <v>231700</v>
      </c>
      <c r="M11" s="18"/>
      <c r="N11" s="18"/>
      <c r="O11" s="22">
        <f>317512+1213521+298312</f>
        <v>1829345</v>
      </c>
      <c r="P11" s="18"/>
      <c r="Q11" s="18"/>
      <c r="R11" s="39">
        <f t="shared" si="0"/>
        <v>6080869</v>
      </c>
      <c r="S11" s="105">
        <f t="shared" si="3"/>
        <v>5.9737320863626736E-2</v>
      </c>
      <c r="T11" s="109" t="s">
        <v>45</v>
      </c>
      <c r="V11" s="63">
        <f>F11/F$22</f>
        <v>0.33458135422988028</v>
      </c>
      <c r="W11" s="63" t="e">
        <f>#REF!/#REF!</f>
        <v>#REF!</v>
      </c>
      <c r="X11" s="63">
        <f t="shared" si="4"/>
        <v>0</v>
      </c>
      <c r="Y11" s="63">
        <f t="shared" si="4"/>
        <v>0</v>
      </c>
      <c r="Z11" s="63">
        <f t="shared" si="4"/>
        <v>0</v>
      </c>
      <c r="AA11" s="63">
        <f t="shared" si="4"/>
        <v>0</v>
      </c>
      <c r="AB11" s="63">
        <f t="shared" si="4"/>
        <v>0.14822557924406873</v>
      </c>
      <c r="AC11" s="63">
        <f t="shared" si="4"/>
        <v>0</v>
      </c>
    </row>
    <row r="12" spans="1:31" ht="15.75" x14ac:dyDescent="0.25">
      <c r="A12" s="100"/>
      <c r="B12" s="78"/>
      <c r="C12" s="78"/>
      <c r="D12" s="78"/>
      <c r="E12" s="79"/>
      <c r="F12" s="80"/>
      <c r="G12" s="81"/>
      <c r="H12" s="82"/>
      <c r="I12" s="82"/>
      <c r="J12" s="82"/>
      <c r="K12" s="82"/>
      <c r="L12" s="82"/>
      <c r="M12" s="82"/>
      <c r="N12" s="82"/>
      <c r="O12" s="83"/>
      <c r="P12" s="82"/>
      <c r="Q12" s="82"/>
      <c r="R12" s="77"/>
      <c r="S12" s="117"/>
      <c r="T12" s="110"/>
      <c r="V12" s="63"/>
      <c r="W12" s="63"/>
      <c r="X12" s="63"/>
      <c r="Y12" s="63"/>
      <c r="Z12" s="63"/>
      <c r="AA12" s="63"/>
      <c r="AB12" s="63"/>
      <c r="AC12" s="63"/>
    </row>
    <row r="13" spans="1:31" ht="49.5" customHeight="1" x14ac:dyDescent="0.25">
      <c r="A13" s="101" t="s">
        <v>77</v>
      </c>
      <c r="B13" s="6" t="s">
        <v>10</v>
      </c>
      <c r="C13" s="6">
        <v>7</v>
      </c>
      <c r="D13" s="6"/>
      <c r="E13" s="8" t="s">
        <v>57</v>
      </c>
      <c r="F13" s="17"/>
      <c r="G13" s="65"/>
      <c r="H13" s="18"/>
      <c r="I13" s="18"/>
      <c r="J13" s="18"/>
      <c r="K13" s="18"/>
      <c r="L13" s="18"/>
      <c r="M13" s="18"/>
      <c r="N13" s="18"/>
      <c r="O13" s="18">
        <v>937700</v>
      </c>
      <c r="P13" s="18"/>
      <c r="Q13" s="18"/>
      <c r="R13" s="39">
        <f t="shared" si="0"/>
        <v>937700</v>
      </c>
      <c r="S13" s="105">
        <f t="shared" ref="S13:S16" si="5">R13/R$22</f>
        <v>9.2117895935305942E-3</v>
      </c>
      <c r="T13" s="111" t="s">
        <v>46</v>
      </c>
      <c r="V13" s="63">
        <f>F13/F$22</f>
        <v>0</v>
      </c>
      <c r="W13" s="63" t="e">
        <f>#REF!/#REF!</f>
        <v>#REF!</v>
      </c>
      <c r="X13" s="63">
        <f t="shared" ref="X13:AC16" si="6">H13/H$22</f>
        <v>0</v>
      </c>
      <c r="Y13" s="63">
        <f t="shared" si="6"/>
        <v>0</v>
      </c>
      <c r="Z13" s="63">
        <f t="shared" si="6"/>
        <v>0</v>
      </c>
      <c r="AA13" s="63">
        <f t="shared" si="6"/>
        <v>0</v>
      </c>
      <c r="AB13" s="63">
        <f t="shared" si="6"/>
        <v>0</v>
      </c>
      <c r="AC13" s="63">
        <f t="shared" si="6"/>
        <v>0</v>
      </c>
    </row>
    <row r="14" spans="1:31" ht="69" customHeight="1" x14ac:dyDescent="0.25">
      <c r="A14" s="97"/>
      <c r="B14" s="6" t="s">
        <v>6</v>
      </c>
      <c r="C14" s="6">
        <v>8</v>
      </c>
      <c r="D14" s="6"/>
      <c r="E14" s="8" t="s">
        <v>58</v>
      </c>
      <c r="F14" s="17"/>
      <c r="G14" s="65"/>
      <c r="H14" s="18"/>
      <c r="I14" s="18"/>
      <c r="J14" s="18">
        <f>1289392-120000-180000</f>
        <v>989392</v>
      </c>
      <c r="K14" s="18">
        <v>120000</v>
      </c>
      <c r="L14" s="18">
        <v>180000</v>
      </c>
      <c r="M14" s="18"/>
      <c r="N14" s="18"/>
      <c r="O14" s="18"/>
      <c r="P14" s="18">
        <f>566524+553988</f>
        <v>1120512</v>
      </c>
      <c r="Q14" s="18"/>
      <c r="R14" s="95">
        <f t="shared" si="0"/>
        <v>2409904</v>
      </c>
      <c r="S14" s="105">
        <f t="shared" si="5"/>
        <v>2.3674446612570923E-2</v>
      </c>
      <c r="T14" s="109" t="s">
        <v>47</v>
      </c>
      <c r="V14" s="63">
        <f>F14/F$22</f>
        <v>0</v>
      </c>
      <c r="W14" s="63" t="e">
        <f>#REF!/#REF!</f>
        <v>#REF!</v>
      </c>
      <c r="X14" s="63">
        <f t="shared" si="6"/>
        <v>0</v>
      </c>
      <c r="Y14" s="63">
        <f t="shared" si="6"/>
        <v>0</v>
      </c>
      <c r="Z14" s="63">
        <f t="shared" si="6"/>
        <v>7.8694046859367095E-2</v>
      </c>
      <c r="AA14" s="63">
        <f t="shared" si="6"/>
        <v>7.4352621022831827E-2</v>
      </c>
      <c r="AB14" s="63">
        <f t="shared" si="6"/>
        <v>0.11515150739720489</v>
      </c>
      <c r="AC14" s="63">
        <f t="shared" si="6"/>
        <v>0</v>
      </c>
    </row>
    <row r="15" spans="1:31" ht="78.75" x14ac:dyDescent="0.25">
      <c r="A15" s="97"/>
      <c r="B15" s="14" t="s">
        <v>29</v>
      </c>
      <c r="C15" s="14">
        <v>9</v>
      </c>
      <c r="D15" s="14"/>
      <c r="E15" s="15" t="s">
        <v>37</v>
      </c>
      <c r="F15" s="23">
        <v>478250</v>
      </c>
      <c r="G15" s="68"/>
      <c r="H15" s="24"/>
      <c r="I15" s="24"/>
      <c r="J15" s="24"/>
      <c r="K15" s="24"/>
      <c r="L15" s="24">
        <v>223212</v>
      </c>
      <c r="M15" s="24"/>
      <c r="N15" s="24"/>
      <c r="O15" s="24"/>
      <c r="P15" s="24"/>
      <c r="Q15" s="24"/>
      <c r="R15" s="94">
        <f t="shared" si="0"/>
        <v>701462</v>
      </c>
      <c r="S15" s="105">
        <f t="shared" si="5"/>
        <v>6.8910316219016297E-3</v>
      </c>
      <c r="T15" s="109" t="s">
        <v>48</v>
      </c>
      <c r="V15" s="63">
        <f>F15/F$22</f>
        <v>3.9806104113125414E-2</v>
      </c>
      <c r="W15" s="63" t="e">
        <f>#REF!/#REF!</f>
        <v>#REF!</v>
      </c>
      <c r="X15" s="63">
        <f t="shared" si="6"/>
        <v>0</v>
      </c>
      <c r="Y15" s="63">
        <f t="shared" si="6"/>
        <v>0</v>
      </c>
      <c r="Z15" s="63">
        <f t="shared" si="6"/>
        <v>0</v>
      </c>
      <c r="AA15" s="63">
        <f t="shared" si="6"/>
        <v>0</v>
      </c>
      <c r="AB15" s="63">
        <f t="shared" si="6"/>
        <v>0.14279554593969387</v>
      </c>
      <c r="AC15" s="63">
        <f t="shared" si="6"/>
        <v>0</v>
      </c>
    </row>
    <row r="16" spans="1:31" ht="66" customHeight="1" x14ac:dyDescent="0.25">
      <c r="A16" s="97"/>
      <c r="B16" s="6" t="s">
        <v>1</v>
      </c>
      <c r="C16" s="6">
        <v>10</v>
      </c>
      <c r="D16" s="6"/>
      <c r="E16" s="8" t="s">
        <v>34</v>
      </c>
      <c r="F16" s="17"/>
      <c r="G16" s="65"/>
      <c r="H16" s="18"/>
      <c r="I16" s="18"/>
      <c r="J16" s="18">
        <v>255000</v>
      </c>
      <c r="K16" s="18"/>
      <c r="L16" s="18"/>
      <c r="M16" s="18"/>
      <c r="N16" s="18"/>
      <c r="O16" s="18"/>
      <c r="P16" s="18">
        <f>509696+552020+565252</f>
        <v>1626968</v>
      </c>
      <c r="Q16" s="18"/>
      <c r="R16" s="39">
        <f t="shared" si="0"/>
        <v>1881968</v>
      </c>
      <c r="S16" s="105">
        <f t="shared" si="5"/>
        <v>1.8488101991849831E-2</v>
      </c>
      <c r="T16" s="109" t="s">
        <v>49</v>
      </c>
      <c r="V16" s="63">
        <f>F16/F$22</f>
        <v>0</v>
      </c>
      <c r="W16" s="63" t="e">
        <f>#REF!/#REF!</f>
        <v>#REF!</v>
      </c>
      <c r="X16" s="63">
        <f t="shared" si="6"/>
        <v>0</v>
      </c>
      <c r="Y16" s="63">
        <f t="shared" si="6"/>
        <v>0</v>
      </c>
      <c r="Z16" s="63">
        <f t="shared" si="6"/>
        <v>2.0282134835473312E-2</v>
      </c>
      <c r="AA16" s="63">
        <f t="shared" si="6"/>
        <v>0</v>
      </c>
      <c r="AB16" s="63">
        <f t="shared" si="6"/>
        <v>0</v>
      </c>
      <c r="AC16" s="63">
        <f t="shared" si="6"/>
        <v>0</v>
      </c>
    </row>
    <row r="17" spans="1:29" ht="63" x14ac:dyDescent="0.25">
      <c r="A17" s="97"/>
      <c r="B17" s="6" t="s">
        <v>2</v>
      </c>
      <c r="C17" s="6">
        <v>11</v>
      </c>
      <c r="D17" s="6"/>
      <c r="E17" s="33" t="s">
        <v>35</v>
      </c>
      <c r="F17" s="19"/>
      <c r="G17" s="66"/>
      <c r="H17" s="20">
        <v>410570</v>
      </c>
      <c r="I17" s="20"/>
      <c r="J17" s="20"/>
      <c r="K17" s="20"/>
      <c r="L17" s="20"/>
      <c r="M17" s="20"/>
      <c r="N17" s="20"/>
      <c r="O17" s="20"/>
      <c r="P17" s="20"/>
      <c r="Q17" s="20"/>
      <c r="R17" s="39">
        <f t="shared" si="0"/>
        <v>410570</v>
      </c>
      <c r="S17" s="105">
        <f t="shared" ref="S17:S19" si="7">R17/R$22</f>
        <v>4.033362966210788E-3</v>
      </c>
      <c r="T17" s="109" t="s">
        <v>50</v>
      </c>
      <c r="V17" s="63"/>
      <c r="W17" s="63"/>
      <c r="X17" s="63"/>
      <c r="Y17" s="63"/>
      <c r="Z17" s="63"/>
      <c r="AA17" s="63"/>
      <c r="AB17" s="63"/>
      <c r="AC17" s="63"/>
    </row>
    <row r="18" spans="1:29" ht="16.5" thickBot="1" x14ac:dyDescent="0.3">
      <c r="A18" s="98"/>
      <c r="B18" s="78"/>
      <c r="C18" s="78"/>
      <c r="D18" s="78"/>
      <c r="E18" s="89"/>
      <c r="F18" s="74"/>
      <c r="G18" s="75"/>
      <c r="H18" s="76"/>
      <c r="I18" s="76"/>
      <c r="J18" s="76"/>
      <c r="K18" s="76"/>
      <c r="L18" s="76"/>
      <c r="M18" s="76"/>
      <c r="N18" s="76"/>
      <c r="O18" s="76"/>
      <c r="P18" s="76"/>
      <c r="Q18" s="76"/>
      <c r="R18" s="77"/>
      <c r="S18" s="107"/>
      <c r="T18" s="110"/>
      <c r="V18" s="63"/>
      <c r="W18" s="63"/>
      <c r="X18" s="63"/>
      <c r="Y18" s="63"/>
      <c r="Z18" s="63"/>
      <c r="AA18" s="63"/>
      <c r="AB18" s="63"/>
      <c r="AC18" s="63"/>
    </row>
    <row r="19" spans="1:29" ht="63" x14ac:dyDescent="0.25">
      <c r="A19" s="102" t="s">
        <v>5</v>
      </c>
      <c r="B19" s="6" t="s">
        <v>5</v>
      </c>
      <c r="C19" s="6" t="s">
        <v>32</v>
      </c>
      <c r="D19" s="6"/>
      <c r="E19" s="9" t="s">
        <v>76</v>
      </c>
      <c r="F19" s="25">
        <f>952971-100000</f>
        <v>852971</v>
      </c>
      <c r="G19" s="69">
        <v>100000</v>
      </c>
      <c r="H19" s="26">
        <f>766718+18377+161700+32507+18377+19137-177234</f>
        <v>839582</v>
      </c>
      <c r="I19" s="26"/>
      <c r="J19" s="26"/>
      <c r="K19" s="26">
        <v>1456035</v>
      </c>
      <c r="L19" s="26"/>
      <c r="M19" s="26"/>
      <c r="N19" s="37">
        <v>188544</v>
      </c>
      <c r="O19" s="26">
        <f>391836+16092</f>
        <v>407928</v>
      </c>
      <c r="P19" s="26">
        <f>2119431+496365</f>
        <v>2615796</v>
      </c>
      <c r="Q19" s="37"/>
      <c r="R19" s="39">
        <f t="shared" si="0"/>
        <v>6460856</v>
      </c>
      <c r="S19" s="106">
        <f t="shared" si="7"/>
        <v>6.3470242152180556E-2</v>
      </c>
      <c r="T19" s="109" t="s">
        <v>53</v>
      </c>
    </row>
    <row r="20" spans="1:29" ht="16.5" thickBot="1" x14ac:dyDescent="0.3">
      <c r="A20" s="103"/>
      <c r="B20" s="78"/>
      <c r="C20" s="78"/>
      <c r="D20" s="78"/>
      <c r="E20" s="73"/>
      <c r="F20" s="90"/>
      <c r="G20" s="91"/>
      <c r="H20" s="92"/>
      <c r="I20" s="92"/>
      <c r="J20" s="92"/>
      <c r="K20" s="92"/>
      <c r="L20" s="92"/>
      <c r="M20" s="92"/>
      <c r="N20" s="93"/>
      <c r="O20" s="92"/>
      <c r="P20" s="92"/>
      <c r="Q20" s="93"/>
      <c r="R20" s="77"/>
      <c r="S20" s="107"/>
      <c r="T20" s="112"/>
    </row>
    <row r="21" spans="1:29" ht="31.5" x14ac:dyDescent="0.25">
      <c r="A21" s="104" t="s">
        <v>7</v>
      </c>
      <c r="B21" s="6" t="s">
        <v>79</v>
      </c>
      <c r="C21" s="6" t="s">
        <v>32</v>
      </c>
      <c r="D21" s="6"/>
      <c r="E21" s="10" t="s">
        <v>61</v>
      </c>
      <c r="F21" s="19"/>
      <c r="G21" s="70"/>
      <c r="H21" s="38"/>
      <c r="I21" s="38"/>
      <c r="J21" s="38">
        <v>2181100</v>
      </c>
      <c r="K21" s="38">
        <v>7896</v>
      </c>
      <c r="L21" s="38"/>
      <c r="M21" s="38"/>
      <c r="N21" s="20"/>
      <c r="O21" s="38"/>
      <c r="P21" s="38"/>
      <c r="Q21" s="20"/>
      <c r="R21" s="39">
        <f t="shared" si="0"/>
        <v>2188996</v>
      </c>
      <c r="S21" s="106">
        <f>R21/R$22</f>
        <v>2.1504287696576835E-2</v>
      </c>
      <c r="T21" s="113" t="s">
        <v>38</v>
      </c>
      <c r="V21" s="63"/>
      <c r="W21" s="63"/>
      <c r="X21" s="63"/>
      <c r="Y21" s="63"/>
      <c r="Z21" s="63"/>
      <c r="AA21" s="63"/>
      <c r="AB21" s="63"/>
      <c r="AC21" s="63"/>
    </row>
    <row r="22" spans="1:29" s="13" customFormat="1" ht="16.5" thickBot="1" x14ac:dyDescent="0.3">
      <c r="A22" s="27"/>
      <c r="B22" s="27"/>
      <c r="C22" s="27"/>
      <c r="D22" s="27"/>
      <c r="E22" s="43" t="s">
        <v>17</v>
      </c>
      <c r="F22" s="28">
        <f t="shared" ref="F22:R22" si="8">SUM(F3:F21)</f>
        <v>12014489</v>
      </c>
      <c r="G22" s="28">
        <f t="shared" si="8"/>
        <v>100000</v>
      </c>
      <c r="H22" s="28">
        <f t="shared" si="8"/>
        <v>2372334</v>
      </c>
      <c r="I22" s="28">
        <f t="shared" si="8"/>
        <v>7225000</v>
      </c>
      <c r="J22" s="28">
        <f t="shared" si="8"/>
        <v>12572641</v>
      </c>
      <c r="K22" s="28">
        <f t="shared" si="8"/>
        <v>1613931</v>
      </c>
      <c r="L22" s="28">
        <f t="shared" si="8"/>
        <v>1563158</v>
      </c>
      <c r="M22" s="28">
        <f t="shared" si="8"/>
        <v>6290816</v>
      </c>
      <c r="N22" s="28">
        <f t="shared" si="8"/>
        <v>274464</v>
      </c>
      <c r="O22" s="28">
        <f t="shared" si="8"/>
        <v>3636556</v>
      </c>
      <c r="P22" s="28">
        <f t="shared" si="8"/>
        <v>54130078</v>
      </c>
      <c r="Q22" s="28">
        <f t="shared" si="8"/>
        <v>0</v>
      </c>
      <c r="R22" s="28">
        <f t="shared" si="8"/>
        <v>101793467</v>
      </c>
      <c r="S22" s="118"/>
      <c r="T22" s="114"/>
    </row>
    <row r="23" spans="1:29" ht="15.75" hidden="1" x14ac:dyDescent="0.25">
      <c r="B23" s="54"/>
      <c r="C23" s="54"/>
      <c r="D23" s="54"/>
      <c r="E23" s="44" t="s">
        <v>26</v>
      </c>
      <c r="F23" s="40">
        <f>6283634-(6283634*0.08)</f>
        <v>5780943.2800000003</v>
      </c>
      <c r="G23" s="40"/>
      <c r="H23" s="40">
        <v>0</v>
      </c>
      <c r="I23" s="40">
        <v>7244985</v>
      </c>
      <c r="J23" s="40">
        <f>7262101-708273-400000-681300</f>
        <v>5472528</v>
      </c>
      <c r="K23" s="40">
        <f>(1731604+21352+23500)</f>
        <v>1776456</v>
      </c>
      <c r="L23" s="40">
        <v>1360803</v>
      </c>
      <c r="M23" s="40">
        <f>3616073-9400</f>
        <v>3606673</v>
      </c>
      <c r="N23" s="40">
        <v>314300</v>
      </c>
      <c r="O23" s="40">
        <v>2791697</v>
      </c>
      <c r="P23" s="40">
        <v>19078672</v>
      </c>
      <c r="Q23" s="40"/>
      <c r="R23" s="41" t="e">
        <f>F23+#REF!+J23+K23+L23+M23+Q23</f>
        <v>#REF!</v>
      </c>
      <c r="S23" s="84"/>
      <c r="T23" s="58"/>
    </row>
    <row r="24" spans="1:29" ht="15.75" hidden="1" x14ac:dyDescent="0.25">
      <c r="B24" s="55"/>
      <c r="C24" s="55"/>
      <c r="D24" s="55"/>
      <c r="E24" s="46" t="s">
        <v>30</v>
      </c>
      <c r="F24" s="47">
        <f>-85284-5468-5416-992-705-5000-7105-21351</f>
        <v>-131321</v>
      </c>
      <c r="G24" s="47"/>
      <c r="H24" s="48"/>
      <c r="I24" s="48"/>
      <c r="J24" s="47">
        <f>-428200+90000</f>
        <v>-338200</v>
      </c>
      <c r="K24" s="47">
        <f>-30000-21352-23500-15000</f>
        <v>-89852</v>
      </c>
      <c r="L24" s="47">
        <f>-90000-20000</f>
        <v>-110000</v>
      </c>
      <c r="M24" s="47"/>
      <c r="N24" s="47"/>
      <c r="O24" s="47"/>
      <c r="P24" s="47"/>
      <c r="Q24" s="47"/>
      <c r="R24" s="49">
        <f>SUM(F24:Q24)</f>
        <v>-669373</v>
      </c>
      <c r="S24" s="85"/>
      <c r="T24" s="59"/>
    </row>
    <row r="25" spans="1:29" ht="15.75" hidden="1" x14ac:dyDescent="0.25">
      <c r="B25" s="56"/>
      <c r="C25" s="56"/>
      <c r="D25" s="56"/>
      <c r="E25" s="50" t="s">
        <v>31</v>
      </c>
      <c r="F25" s="51">
        <f>-686691-152355</f>
        <v>-839046</v>
      </c>
      <c r="G25" s="51"/>
      <c r="H25" s="52"/>
      <c r="I25" s="52"/>
      <c r="J25" s="51">
        <v>-512730</v>
      </c>
      <c r="K25" s="51"/>
      <c r="L25" s="51">
        <f>-100000-40000</f>
        <v>-140000</v>
      </c>
      <c r="M25" s="51">
        <v>-911148</v>
      </c>
      <c r="N25" s="51"/>
      <c r="O25" s="51"/>
      <c r="P25" s="51"/>
      <c r="Q25" s="51"/>
      <c r="R25" s="53">
        <f>SUM(F25:Q25)</f>
        <v>-2402924</v>
      </c>
      <c r="S25" s="86"/>
      <c r="T25" s="60"/>
    </row>
    <row r="26" spans="1:29" ht="15.75" hidden="1" x14ac:dyDescent="0.25">
      <c r="B26" s="57"/>
      <c r="C26" s="57"/>
      <c r="D26" s="57"/>
      <c r="E26" s="45" t="s">
        <v>27</v>
      </c>
      <c r="F26" s="42">
        <f>F23-F22-F24-F25</f>
        <v>-5263178.72</v>
      </c>
      <c r="G26" s="42"/>
      <c r="H26" s="42">
        <f t="shared" ref="H26:R26" si="9">H23-H22-H24-H25</f>
        <v>-2372334</v>
      </c>
      <c r="I26" s="42">
        <f t="shared" si="9"/>
        <v>19985</v>
      </c>
      <c r="J26" s="42">
        <f t="shared" si="9"/>
        <v>-6249183</v>
      </c>
      <c r="K26" s="42">
        <f t="shared" si="9"/>
        <v>252377</v>
      </c>
      <c r="L26" s="42">
        <f t="shared" si="9"/>
        <v>47645</v>
      </c>
      <c r="M26" s="42">
        <f t="shared" si="9"/>
        <v>-1772995</v>
      </c>
      <c r="N26" s="42"/>
      <c r="O26" s="42">
        <f t="shared" si="9"/>
        <v>-844859</v>
      </c>
      <c r="P26" s="42">
        <f t="shared" si="9"/>
        <v>-35051406</v>
      </c>
      <c r="Q26" s="42">
        <f t="shared" si="9"/>
        <v>0</v>
      </c>
      <c r="R26" s="42" t="e">
        <f t="shared" si="9"/>
        <v>#REF!</v>
      </c>
      <c r="S26" s="87"/>
      <c r="T26" s="61"/>
    </row>
    <row r="27" spans="1:29" x14ac:dyDescent="0.25">
      <c r="B27" s="2"/>
      <c r="C27" s="2"/>
      <c r="D27" s="2"/>
      <c r="E27" s="2"/>
      <c r="F27" s="35"/>
      <c r="G27" s="35"/>
      <c r="J27" s="34"/>
    </row>
    <row r="28" spans="1:29" x14ac:dyDescent="0.25">
      <c r="F28" s="36"/>
      <c r="G28" s="36"/>
      <c r="J28" s="35"/>
      <c r="K28" s="36"/>
    </row>
    <row r="29" spans="1:29" x14ac:dyDescent="0.25">
      <c r="J29" s="34" t="s">
        <v>64</v>
      </c>
      <c r="K29" s="34">
        <f>F22+G22</f>
        <v>12114489</v>
      </c>
      <c r="L29" s="71">
        <f>R9+R8+R11+R10</f>
        <v>14589742</v>
      </c>
      <c r="M29" t="s">
        <v>67</v>
      </c>
    </row>
    <row r="30" spans="1:29" x14ac:dyDescent="0.25">
      <c r="J30" t="s">
        <v>19</v>
      </c>
      <c r="K30" s="34">
        <f>J22+K22+L22</f>
        <v>15749730</v>
      </c>
      <c r="L30" s="71">
        <f>R17+R16+R15+R14+R13</f>
        <v>6341604</v>
      </c>
      <c r="M30" t="s">
        <v>68</v>
      </c>
    </row>
    <row r="31" spans="1:29" x14ac:dyDescent="0.25">
      <c r="J31" t="s">
        <v>20</v>
      </c>
      <c r="K31" s="34">
        <f>M22+N22</f>
        <v>6565280</v>
      </c>
      <c r="L31" s="71">
        <f>R21</f>
        <v>2188996</v>
      </c>
      <c r="M31" t="s">
        <v>69</v>
      </c>
    </row>
    <row r="32" spans="1:29" x14ac:dyDescent="0.25">
      <c r="J32" t="s">
        <v>65</v>
      </c>
      <c r="K32" s="34">
        <f>H22</f>
        <v>2372334</v>
      </c>
      <c r="L32" s="71">
        <f>R19</f>
        <v>6460856</v>
      </c>
      <c r="M32" t="s">
        <v>5</v>
      </c>
    </row>
    <row r="33" spans="2:13" x14ac:dyDescent="0.25">
      <c r="J33" t="s">
        <v>14</v>
      </c>
      <c r="K33" s="34">
        <f>P22</f>
        <v>54130078</v>
      </c>
      <c r="L33" s="71">
        <f>R3+R4+R5+R6</f>
        <v>72212269</v>
      </c>
      <c r="M33" t="s">
        <v>70</v>
      </c>
    </row>
    <row r="34" spans="2:13" x14ac:dyDescent="0.25">
      <c r="J34" t="s">
        <v>66</v>
      </c>
      <c r="K34" s="34">
        <f>O22+I22</f>
        <v>10861556</v>
      </c>
    </row>
    <row r="35" spans="2:13" x14ac:dyDescent="0.25">
      <c r="K35" s="34">
        <f>SUM(K29:K34)</f>
        <v>101793467</v>
      </c>
      <c r="L35" s="71">
        <f>SUM(L29:L34)</f>
        <v>101793467</v>
      </c>
    </row>
    <row r="36" spans="2:13" x14ac:dyDescent="0.25">
      <c r="B36" s="3"/>
      <c r="C36" s="3"/>
      <c r="D36" s="3"/>
      <c r="E36" s="3"/>
    </row>
  </sheetData>
  <mergeCells count="1">
    <mergeCell ref="F1:S1"/>
  </mergeCells>
  <printOptions horizontalCentered="1"/>
  <pageMargins left="0" right="0" top="0.4" bottom="0" header="0.05" footer="0"/>
  <pageSetup paperSize="17" scale="72" orientation="landscape" r:id="rId1"/>
  <headerFooter>
    <oddHeader>&amp;C&amp;14PHAC Budget Worksheet FY 2014-15 Adopted All Funds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 sqref="I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Worksheet</vt:lpstr>
      <vt:lpstr>Sheet1</vt:lpstr>
      <vt:lpstr>'Budget Worksheet'!Print_Area</vt:lpstr>
      <vt:lpstr>'Budget Worksheet'!Print_Titles</vt:lpstr>
    </vt:vector>
  </TitlesOfParts>
  <Company>City of Portland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Johnson</dc:creator>
  <cp:lastModifiedBy>lclayton</cp:lastModifiedBy>
  <cp:lastPrinted>2014-10-27T18:42:55Z</cp:lastPrinted>
  <dcterms:created xsi:type="dcterms:W3CDTF">2010-12-08T23:10:13Z</dcterms:created>
  <dcterms:modified xsi:type="dcterms:W3CDTF">2014-12-04T21:17:11Z</dcterms:modified>
</cp:coreProperties>
</file>