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5" yWindow="65236" windowWidth="7650" windowHeight="9120" tabRatio="925" activeTab="0"/>
  </bookViews>
  <sheets>
    <sheet name="Petition Support Calculation" sheetId="1" r:id="rId1"/>
    <sheet name="Taxlots_20040506" sheetId="2" r:id="rId2"/>
    <sheet name="Assessment Worksheet" sheetId="3" r:id="rId3"/>
    <sheet name="Summary" sheetId="4" r:id="rId4"/>
    <sheet name="LID Preliminary Estimate" sheetId="5" r:id="rId5"/>
    <sheet name="Lents III-east 170' of Ellis" sheetId="6" r:id="rId6"/>
  </sheets>
  <externalReferences>
    <externalReference r:id="rId9"/>
    <externalReference r:id="rId10"/>
    <externalReference r:id="rId11"/>
    <externalReference r:id="rId12"/>
  </externalReferences>
  <definedNames>
    <definedName name="DATABASE" localSheetId="1">'Taxlots_20040506'!$A$1:$AT$3</definedName>
    <definedName name="Engineers_Estimate" localSheetId="5">'Lents III-east 170'' of Ellis'!$H$107</definedName>
    <definedName name="Engineers_Estimate" localSheetId="4">#REF!</definedName>
    <definedName name="Engineers_Estimate">#REF!</definedName>
    <definedName name="inflation_rate" localSheetId="2">#REF!</definedName>
    <definedName name="inflation_rate" localSheetId="5">'Lents III-east 170'' of Ellis'!$I$1</definedName>
    <definedName name="inflation_rate" localSheetId="4">#REF!</definedName>
    <definedName name="inflation_rate">#REF!</definedName>
    <definedName name="Item1_SchA_EE" localSheetId="5">'Lents III-east 170'' of Ellis'!$F$14</definedName>
    <definedName name="Item1_SchA_EE" localSheetId="4">#REF!</definedName>
    <definedName name="Item1_SchA_EE">#REF!</definedName>
    <definedName name="Item1_SchB_EE" localSheetId="5">'Lents III-east 170'' of Ellis'!#REF!</definedName>
    <definedName name="Item1_SchB_EE" localSheetId="4">#REF!</definedName>
    <definedName name="Item1_SchB_EE">#REF!</definedName>
    <definedName name="LengthLargeInt">'[1]Calc Sheet'!#REF!</definedName>
    <definedName name="LengthSmallInt">'[1]Calc Sheet'!#REF!</definedName>
    <definedName name="_xlnm.Print_Area" localSheetId="5">'Lents III-east 170'' of Ellis'!$A$1:$F$123</definedName>
    <definedName name="_xlnm.Print_Area" localSheetId="4">'LID Preliminary Estimate'!$A$1:$F$56</definedName>
    <definedName name="_xlnm.Print_Area" localSheetId="0">'Petition Support Calculation'!$A$2:$E$32</definedName>
    <definedName name="_xlnm.Print_Titles" localSheetId="5">'Lents III-east 170'' of Ellis'!$13:$13</definedName>
    <definedName name="TABLE" localSheetId="0">'Petition Support Calculation'!$B$5:$B$5</definedName>
    <definedName name="Total_SchA_EE" localSheetId="5">'Lents III-east 170'' of Ellis'!$F$86</definedName>
    <definedName name="Total_SchA_EE" localSheetId="4">#REF!</definedName>
    <definedName name="Total_SchA_EE">#REF!</definedName>
    <definedName name="Total_SchB_EE" localSheetId="5">'Lents III-east 170'' of Ellis'!#REF!</definedName>
    <definedName name="Total_SchB_EE" localSheetId="4">#REF!</definedName>
    <definedName name="Total_SchB_EE">#REF!</definedName>
  </definedNames>
  <calcPr fullCalcOnLoad="1"/>
</workbook>
</file>

<file path=xl/sharedStrings.xml><?xml version="1.0" encoding="utf-8"?>
<sst xmlns="http://schemas.openxmlformats.org/spreadsheetml/2006/main" count="492" uniqueCount="300">
  <si>
    <t>CITY OF PORTLAND, OREGON</t>
  </si>
  <si>
    <t>BUREAU OF TRANSPORTATION ENGINEERING AND DEVELOPMENT</t>
  </si>
  <si>
    <t>PRELIMINARY ENGINEER'S ESTIMATE</t>
  </si>
  <si>
    <t>NO.</t>
  </si>
  <si>
    <t>ITEMS OF WORK AND MATERIALS</t>
  </si>
  <si>
    <t>UNIT</t>
  </si>
  <si>
    <t>TOTAL QUANTITY</t>
  </si>
  <si>
    <t>UNIT PRICE</t>
  </si>
  <si>
    <t>TOTAL AMOUNT</t>
  </si>
  <si>
    <t>ls</t>
  </si>
  <si>
    <t>Clearing and Grubbing</t>
  </si>
  <si>
    <t>ea</t>
  </si>
  <si>
    <t>hr</t>
  </si>
  <si>
    <t>SCHEDULE SUMMARY</t>
  </si>
  <si>
    <t>Erosion Control</t>
  </si>
  <si>
    <t>Temporary Signs</t>
  </si>
  <si>
    <t>Temporary Barricades</t>
  </si>
  <si>
    <t>Flaggers</t>
  </si>
  <si>
    <t>Straw Bale Sediment Barrier</t>
  </si>
  <si>
    <t>Gravel Construction Entrances</t>
  </si>
  <si>
    <t>General Excavation</t>
  </si>
  <si>
    <t>Embankment in Place</t>
  </si>
  <si>
    <t>Watering</t>
  </si>
  <si>
    <t>Subgrade Geotextile</t>
  </si>
  <si>
    <t>Extra for Pipe under Pavement</t>
  </si>
  <si>
    <t>Concrete Inlets Type G-2</t>
  </si>
  <si>
    <t>Concrete Inlets Type CG-2</t>
  </si>
  <si>
    <t>Concrete Inlets Type D</t>
  </si>
  <si>
    <t>Extra for Aspalt Approaches</t>
  </si>
  <si>
    <t>Concrete Driveways</t>
  </si>
  <si>
    <t>Concrete Curb Type C</t>
  </si>
  <si>
    <t>Concrete Curb Type A, Modified</t>
  </si>
  <si>
    <t>Bark Mulch</t>
  </si>
  <si>
    <t>Size I Mail Box</t>
  </si>
  <si>
    <t>Size II Mail Box</t>
  </si>
  <si>
    <t>Ditch Excavation</t>
  </si>
  <si>
    <t>Right of Way Monumentation</t>
  </si>
  <si>
    <t>Geotextile</t>
  </si>
  <si>
    <t>Street Lighting</t>
  </si>
  <si>
    <t>Replace Sewer House Branch</t>
  </si>
  <si>
    <t>Silt Fence, Unsupported</t>
  </si>
  <si>
    <t>Class "C" Asphalt Concrete in Temporary</t>
  </si>
  <si>
    <t>Seeded Lawn</t>
  </si>
  <si>
    <t>Single Mailbox Supports</t>
  </si>
  <si>
    <t>Multiple Mailbox Supports</t>
  </si>
  <si>
    <t>Mailbox Concrete Collars</t>
  </si>
  <si>
    <t>Tree Grates</t>
  </si>
  <si>
    <t>Exploratory Tree Root Excavation</t>
  </si>
  <si>
    <t>Concrete Driveway Connection</t>
  </si>
  <si>
    <t>Aggregate Driveway Connection</t>
  </si>
  <si>
    <t>Topsoil</t>
  </si>
  <si>
    <t>Salvage &amp; Re-install Fence</t>
  </si>
  <si>
    <t>Remove Fence</t>
  </si>
  <si>
    <t>Relocate Mailbox &amp; Post</t>
  </si>
  <si>
    <t>Install Funding Sign</t>
  </si>
  <si>
    <t>Seeding, Fertilizing &amp; Mulching</t>
  </si>
  <si>
    <t>Pipe Sign Posts</t>
  </si>
  <si>
    <t>Single Post Slip Base Sign Supports</t>
  </si>
  <si>
    <t>Sign Support Footings</t>
  </si>
  <si>
    <t>Remove &amp; Re-install Existing Signs</t>
  </si>
  <si>
    <t>Concrete Stairs</t>
  </si>
  <si>
    <t>Asphalt Driveway Connection</t>
  </si>
  <si>
    <t>Concrete Excavation</t>
  </si>
  <si>
    <t>Sawcut Concrete</t>
  </si>
  <si>
    <t>Sawcut Aspaltic Concrete</t>
  </si>
  <si>
    <t>sy</t>
  </si>
  <si>
    <t>lf</t>
  </si>
  <si>
    <t>cy</t>
  </si>
  <si>
    <t>kgal</t>
  </si>
  <si>
    <t>ton</t>
  </si>
  <si>
    <t>3" Drain Pipe</t>
  </si>
  <si>
    <t>10" Inlet Lead Pipe - Complete</t>
  </si>
  <si>
    <t>12" Subgrade Stabilization</t>
  </si>
  <si>
    <t>Contingent Tree Removal, 0" - 8"</t>
  </si>
  <si>
    <t>Contingent Tree Removal, 8" - 20"</t>
  </si>
  <si>
    <t>Contingent Tree Removal, Over 20"</t>
  </si>
  <si>
    <t>Std. Duty Cl. "C" Asphalt Concrete, 1 1/2" Thick</t>
  </si>
  <si>
    <t>Std. Duty Cl. "B" Asphalt Concrete, 1 1/2" Thick.</t>
  </si>
  <si>
    <t>ANTICIPATED ITEMS</t>
  </si>
  <si>
    <t>Adjust Manholes</t>
  </si>
  <si>
    <t>Reconstruct Manholes</t>
  </si>
  <si>
    <t>Adjust Inlets</t>
  </si>
  <si>
    <t>Adjust Boxes</t>
  </si>
  <si>
    <t>Concrete Walk</t>
  </si>
  <si>
    <t>TOTAL BID ITEMS</t>
  </si>
  <si>
    <t>######    ANTICIPATED ITEMS   ######</t>
  </si>
  <si>
    <t>######   BID ITEMS   ######</t>
  </si>
  <si>
    <t>TOTAL ANTICIPATED ITEMS</t>
  </si>
  <si>
    <t>BID ITEMS</t>
  </si>
  <si>
    <t>RIGHT-OF-WAY &amp; PROPERTY ACQUISITION (COST + 20%)</t>
  </si>
  <si>
    <t>SUBTOTAL</t>
  </si>
  <si>
    <t>TOTAL CONSTRUCTION</t>
  </si>
  <si>
    <t>TOTAL PROJECT MANAGEMENT &amp; ENGINEERING</t>
  </si>
  <si>
    <t>TOTAL PROJECT ESTIMATE</t>
  </si>
  <si>
    <t>Mobilization (8%)</t>
  </si>
  <si>
    <t>Brick Paving</t>
  </si>
  <si>
    <t>sf</t>
  </si>
  <si>
    <t>Asphalt Sidewalk</t>
  </si>
  <si>
    <t>Deciduous Trees,50mm</t>
  </si>
  <si>
    <t>Temporary Erosion Control</t>
  </si>
  <si>
    <t>PROJECT MANAGEMENT</t>
  </si>
  <si>
    <t>DESIGN ENGINEERING</t>
  </si>
  <si>
    <t xml:space="preserve">CONSTRUCTION MANAGEMENT </t>
  </si>
  <si>
    <t>ESTIMATE CONTINGENCY</t>
  </si>
  <si>
    <t>OVERHEAD</t>
  </si>
  <si>
    <t>for the Lents III LID</t>
  </si>
  <si>
    <t>Aggregate Base, 8" Thick</t>
  </si>
  <si>
    <t>Drainage Geotextile</t>
  </si>
  <si>
    <t>Length</t>
  </si>
  <si>
    <t>Width</t>
  </si>
  <si>
    <t>Depth</t>
  </si>
  <si>
    <t>Drainage Blanket (trench)</t>
  </si>
  <si>
    <t>General Excavation, drainage trench</t>
  </si>
  <si>
    <t>CONSTRUCTION CONTINGENCY</t>
  </si>
  <si>
    <t>inflation rate from 2000</t>
  </si>
  <si>
    <t>Temporary Protection &amp; Direction of Traffic (1%)</t>
  </si>
  <si>
    <t>Removal of Structures &amp; Obstructions (1%)</t>
  </si>
  <si>
    <t>NOTES:</t>
  </si>
  <si>
    <t>curb to curb width</t>
  </si>
  <si>
    <t>swale width</t>
  </si>
  <si>
    <t>sidewalk width, N</t>
  </si>
  <si>
    <t>sidewalk width, S</t>
  </si>
  <si>
    <t>Reedway</t>
  </si>
  <si>
    <t>Ellis</t>
  </si>
  <si>
    <t>planter width</t>
  </si>
  <si>
    <t>A&amp;B Curb Length</t>
  </si>
  <si>
    <t>job curb ratio</t>
  </si>
  <si>
    <t>"Base</t>
  </si>
  <si>
    <t>"AC</t>
  </si>
  <si>
    <t>Driveways (18' width)</t>
  </si>
  <si>
    <t>Total</t>
  </si>
  <si>
    <t>cost/linear front foot</t>
  </si>
  <si>
    <t>Construction</t>
  </si>
  <si>
    <t>Construction Estimate</t>
  </si>
  <si>
    <t>Project Work - Street Items</t>
  </si>
  <si>
    <t>Project Work - Storm Items</t>
  </si>
  <si>
    <t>Special Work - Street Items</t>
  </si>
  <si>
    <t>Engineering</t>
  </si>
  <si>
    <t>Engineering Estimate</t>
  </si>
  <si>
    <t>Design Engineering - Street Items</t>
  </si>
  <si>
    <t>Design Engineering - Storm Items</t>
  </si>
  <si>
    <t>Construction Engineering - Street Items</t>
  </si>
  <si>
    <t>Construction Engineering - Storm Items</t>
  </si>
  <si>
    <t>Project Management</t>
  </si>
  <si>
    <t>Contingency</t>
  </si>
  <si>
    <t>Auditor's Costs</t>
  </si>
  <si>
    <t>LID Construction Fund - Progress Payment Interest</t>
  </si>
  <si>
    <t>LID Construction Fund - Superintendence</t>
  </si>
  <si>
    <t>Recording</t>
  </si>
  <si>
    <t>Overhead</t>
  </si>
  <si>
    <t>24.26% on street items</t>
  </si>
  <si>
    <t>TOTAL PROJECT COSTS</t>
  </si>
  <si>
    <t>Property Owner Share</t>
  </si>
  <si>
    <t>Street Items - Project Work</t>
  </si>
  <si>
    <t>Street Items - Special Work</t>
  </si>
  <si>
    <t>Portland Office of Transportation</t>
  </si>
  <si>
    <t>Absorption of overhead</t>
  </si>
  <si>
    <t>TOTAL PROJECT FUNDING</t>
  </si>
  <si>
    <t>Linear Footage</t>
  </si>
  <si>
    <t>Assessment</t>
  </si>
  <si>
    <t>Preliminary Estimate</t>
  </si>
  <si>
    <t>Liens</t>
  </si>
  <si>
    <t>Valuation Ratio</t>
  </si>
  <si>
    <t>Seq</t>
  </si>
  <si>
    <t>State ID (RNo)</t>
  </si>
  <si>
    <t>Owner</t>
  </si>
  <si>
    <t>Site Address</t>
  </si>
  <si>
    <t>Assessable</t>
  </si>
  <si>
    <t>Notes</t>
  </si>
  <si>
    <t>Project</t>
  </si>
  <si>
    <t>Extra Work</t>
  </si>
  <si>
    <t>Lien #</t>
  </si>
  <si>
    <t>Liens $</t>
  </si>
  <si>
    <t>Valuation</t>
  </si>
  <si>
    <t>Rate/L.F.:</t>
  </si>
  <si>
    <t>Rate per assessable L.F.:</t>
  </si>
  <si>
    <t>B</t>
  </si>
  <si>
    <t>Notes:</t>
  </si>
  <si>
    <t>AREA</t>
  </si>
  <si>
    <t>STATE_ID</t>
  </si>
  <si>
    <t>NEW_STATE_</t>
  </si>
  <si>
    <t>RNO</t>
  </si>
  <si>
    <t>OWNER1</t>
  </si>
  <si>
    <t>OWNER2</t>
  </si>
  <si>
    <t>OWNER3</t>
  </si>
  <si>
    <t>OWNERADDR</t>
  </si>
  <si>
    <t>OWNERCITY</t>
  </si>
  <si>
    <t>OWNERSTATE</t>
  </si>
  <si>
    <t>OWNERZIP</t>
  </si>
  <si>
    <t>SITEADDR</t>
  </si>
  <si>
    <t>SITECITY</t>
  </si>
  <si>
    <t>SITE_STATE</t>
  </si>
  <si>
    <t>SITEZIP</t>
  </si>
  <si>
    <t>LEGAL_DESC</t>
  </si>
  <si>
    <t>TAXCODE</t>
  </si>
  <si>
    <t>PROP_CODE</t>
  </si>
  <si>
    <t>PRPCD_DESC</t>
  </si>
  <si>
    <t>LANDUSE</t>
  </si>
  <si>
    <t>YEARBUILT</t>
  </si>
  <si>
    <t>BLDGSQFT</t>
  </si>
  <si>
    <t>BEDROOMS</t>
  </si>
  <si>
    <t>FLOORS</t>
  </si>
  <si>
    <t>UNITS</t>
  </si>
  <si>
    <t>MKTVALYR1</t>
  </si>
  <si>
    <t>LANDVAL1</t>
  </si>
  <si>
    <t>BLDGVAL1</t>
  </si>
  <si>
    <t>TOTALVAL1</t>
  </si>
  <si>
    <t>MKTVALYR2</t>
  </si>
  <si>
    <t>LANDVAL2</t>
  </si>
  <si>
    <t>BLDGVAL2</t>
  </si>
  <si>
    <t>TOTALVAL2</t>
  </si>
  <si>
    <t>MKTVALYR3</t>
  </si>
  <si>
    <t>LANDVAL3</t>
  </si>
  <si>
    <t>BLDGVAL3</t>
  </si>
  <si>
    <t>TOTALVAL3</t>
  </si>
  <si>
    <t>SALEDATE</t>
  </si>
  <si>
    <t>SALEPRICE</t>
  </si>
  <si>
    <t>ACC_STATUS</t>
  </si>
  <si>
    <t>A_T_SQFT</t>
  </si>
  <si>
    <t>A_T_ACRES</t>
  </si>
  <si>
    <t>COUNTY</t>
  </si>
  <si>
    <t>SOURCE</t>
  </si>
  <si>
    <t>PROPERTYID</t>
  </si>
  <si>
    <t>OUT_ORDER</t>
  </si>
  <si>
    <t>1S2E15CB  400</t>
  </si>
  <si>
    <t>R561205250</t>
  </si>
  <si>
    <t>DOMME,JOHN P</t>
  </si>
  <si>
    <t>2636 SE GINO LN</t>
  </si>
  <si>
    <t>MILWAUKIE</t>
  </si>
  <si>
    <t>OR</t>
  </si>
  <si>
    <t>97222-7274</t>
  </si>
  <si>
    <t>10464 SE HAROLD ST</t>
  </si>
  <si>
    <t>PORTLAND</t>
  </si>
  <si>
    <t>97266</t>
  </si>
  <si>
    <t>MENTONE; W 1/2 OF BLOCK 44</t>
  </si>
  <si>
    <t>703</t>
  </si>
  <si>
    <t>Residential Improved</t>
  </si>
  <si>
    <t>RES</t>
  </si>
  <si>
    <t>1912</t>
  </si>
  <si>
    <t>2002</t>
  </si>
  <si>
    <t>2003</t>
  </si>
  <si>
    <t>2004</t>
  </si>
  <si>
    <t>A</t>
  </si>
  <si>
    <t>M</t>
  </si>
  <si>
    <t>R217201</t>
  </si>
  <si>
    <t>1S2E15CB  500</t>
  </si>
  <si>
    <t>R561205180</t>
  </si>
  <si>
    <t>10454 SE HAROLD ST</t>
  </si>
  <si>
    <t>MENTONE; BLOCK 43</t>
  </si>
  <si>
    <t>Vacant Land</t>
  </si>
  <si>
    <t>R217199</t>
  </si>
  <si>
    <t>1S2E15CB  1600</t>
  </si>
  <si>
    <t>R561204520</t>
  </si>
  <si>
    <t>HOST DEVELOPMENT INC</t>
  </si>
  <si>
    <t>8835 NE HANCOCK ST</t>
  </si>
  <si>
    <t>97212</t>
  </si>
  <si>
    <t>10455 SE ELLIS ST</t>
  </si>
  <si>
    <t>MENTONE; LOT 11 BLOCK 32</t>
  </si>
  <si>
    <t>R217150</t>
  </si>
  <si>
    <t>1S2E15CB  2400</t>
  </si>
  <si>
    <t>R561205150</t>
  </si>
  <si>
    <t>10508 W/ SE ELLIS ST</t>
  </si>
  <si>
    <t>MENTONE; BLOCK 42</t>
  </si>
  <si>
    <t>707</t>
  </si>
  <si>
    <t>CVCL</t>
  </si>
  <si>
    <t>R217198</t>
  </si>
  <si>
    <t>1S2E15CB  2500</t>
  </si>
  <si>
    <t>R561205910</t>
  </si>
  <si>
    <t>10508 SE ELLIS ST</t>
  </si>
  <si>
    <t>MENTONE; BLOCK 53</t>
  </si>
  <si>
    <t>GA</t>
  </si>
  <si>
    <t>Industrial General</t>
  </si>
  <si>
    <t>R217215</t>
  </si>
  <si>
    <t>1S2E15CB  1700</t>
  </si>
  <si>
    <t>R561204570</t>
  </si>
  <si>
    <t>10444 SE ELLIS ST</t>
  </si>
  <si>
    <t>MENTONE; LOT 5 BLOCK 33</t>
  </si>
  <si>
    <t>1923</t>
  </si>
  <si>
    <t>R217155</t>
  </si>
  <si>
    <t>Pct.</t>
  </si>
  <si>
    <t>Legal Description</t>
  </si>
  <si>
    <t>Design Engineering</t>
  </si>
  <si>
    <t>Construction Engineering</t>
  </si>
  <si>
    <t>Project Mgmt. &amp; Financing</t>
  </si>
  <si>
    <t>=ROUND(((D15/E16)*'Lents III-east 170'' of Ellis'!F112),2)</t>
  </si>
  <si>
    <r>
      <t>A</t>
    </r>
    <r>
      <rPr>
        <sz val="10"/>
        <rFont val="Arial"/>
        <family val="2"/>
      </rPr>
      <t xml:space="preserve"> - Property does not currently abut SE Ellis Street east of 104th Avenue, but will do so after ROW dedication is complete.</t>
    </r>
  </si>
  <si>
    <t>Ratio</t>
  </si>
  <si>
    <t>OWNER</t>
  </si>
  <si>
    <t>Actual LF</t>
  </si>
  <si>
    <t>Assessable LF</t>
  </si>
  <si>
    <t>Petition Support</t>
  </si>
  <si>
    <t>Withdrawn Petition Support</t>
  </si>
  <si>
    <t>None</t>
  </si>
  <si>
    <t>Waiver Support</t>
  </si>
  <si>
    <t>Government Support</t>
  </si>
  <si>
    <t>No Support</t>
  </si>
  <si>
    <t>TOTAL:</t>
  </si>
  <si>
    <t>Total Support</t>
  </si>
  <si>
    <t>Properties</t>
  </si>
  <si>
    <t>Asssessable SF</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</si>
</sst>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0.0"/>
    <numFmt numFmtId="168" formatCode="&quot;$&quot;#,##0.00"/>
    <numFmt numFmtId="169" formatCode="0.0%"/>
    <numFmt numFmtId="170" formatCode="0.00000"/>
    <numFmt numFmtId="171" formatCode="&quot;$&quot;#,##0.0000000"/>
    <numFmt numFmtId="172" formatCode="&quot;$&quot;#,##0"/>
    <numFmt numFmtId="173" formatCode="_(&quot;$&quot;* #,##0.0_);_(&quot;$&quot;* \(#,##0.0\);_(&quot;$&quot;* &quot;-&quot;?_);_(@_)"/>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
    <numFmt numFmtId="182" formatCode="0.000"/>
    <numFmt numFmtId="183" formatCode="0.00\ \f\t"/>
    <numFmt numFmtId="184" formatCode="_(* #,##0.000_);_(* \(#,##0.000\);_(* &quot;-&quot;??_);_(@_)"/>
    <numFmt numFmtId="185" formatCode="_(* #,##0.0000_);_(* \(#,##0.0000\);_(* &quot;-&quot;??_);_(@_)"/>
    <numFmt numFmtId="186" formatCode="_(* #,##0.00000_);_(* \(#,##0.00000\);_(* &quot;-&quot;??_);_(@_)"/>
    <numFmt numFmtId="187" formatCode="_(* #,##0.0_);_(* \(#,##0.0\);_(* &quot;-&quot;??_);_(@_)"/>
    <numFmt numFmtId="188" formatCode="_(* #,##0_);_(* \(#,##0\);_(* &quot;-&quot;??_);_(@_)"/>
    <numFmt numFmtId="189" formatCode="00000"/>
    <numFmt numFmtId="190" formatCode="#,###,###,##0.00"/>
    <numFmt numFmtId="191" formatCode="###,###,###,##0.00\ ;\(###,###,###,##0.00\)"/>
    <numFmt numFmtId="192" formatCode="###,###,###,##0.00"/>
    <numFmt numFmtId="193" formatCode="_(&quot;$&quot;* #,##0.0_);_(&quot;$&quot;* \(#,##0.0\);_(&quot;$&quot;* &quot;-&quot;??_);_(@_)"/>
    <numFmt numFmtId="194" formatCode="_(&quot;$&quot;* #,##0_);_(&quot;$&quot;* \(#,##0\);_(&quot;$&quot;* &quot;-&quot;??_);_(@_)"/>
    <numFmt numFmtId="195" formatCode="00000\-0000"/>
    <numFmt numFmtId="196" formatCode="&quot;$&quot;#,##0.0_);\(&quot;$&quot;#,##0.0\)"/>
    <numFmt numFmtId="197" formatCode="0###"/>
    <numFmt numFmtId="198" formatCode="#,##0.0_);\(#,##0.0\)"/>
    <numFmt numFmtId="199" formatCode="0000"/>
    <numFmt numFmtId="200" formatCode="#,##0.000"/>
    <numFmt numFmtId="201" formatCode="&quot;$&quot;#,##0.000"/>
    <numFmt numFmtId="202" formatCode="_(&quot;$&quot;* #,##0.0000_);_(&quot;$&quot;* \(#,##0.0000\);_(&quot;$&quot;* &quot;-&quot;????_);_(@_)"/>
    <numFmt numFmtId="203" formatCode="_(&quot;$&quot;* #,##0.0000000_);_(&quot;$&quot;* \(#,##0.0000000\);_(&quot;$&quot;* &quot;-&quot;???????_);_(@_)"/>
    <numFmt numFmtId="204" formatCode="0.00000000_)"/>
    <numFmt numFmtId="205" formatCode="#,##0.00000000_);\(#,##0.00000000\)"/>
    <numFmt numFmtId="206" formatCode="&quot;$&quot;#,##0.000000_);\(&quot;$&quot;#,##0.000000\)"/>
    <numFmt numFmtId="207" formatCode="0.00_)"/>
    <numFmt numFmtId="208" formatCode="mm/dd/yy_)"/>
    <numFmt numFmtId="209" formatCode="0.0000%"/>
    <numFmt numFmtId="210" formatCode="0.000000%"/>
    <numFmt numFmtId="211" formatCode="0_)"/>
    <numFmt numFmtId="212" formatCode="&quot;$&quot;#,##0.000000"/>
    <numFmt numFmtId="213" formatCode="0.00_);\(0.00\)"/>
    <numFmt numFmtId="214" formatCode="#,##0.000_);\(#,##0.000\)"/>
    <numFmt numFmtId="215" formatCode="&quot;$&quot;#,##0.00;\(&quot;$&quot;#,##0.00\)"/>
    <numFmt numFmtId="216" formatCode="#,##0.0000000000000"/>
    <numFmt numFmtId="217" formatCode="_(&quot;$&quot;* #,##0.00000_);_(&quot;$&quot;* \(#,##0.00000\);_(&quot;$&quot;* &quot;-&quot;?????_);_(@_)"/>
    <numFmt numFmtId="218" formatCode="&quot;S&quot;0"/>
    <numFmt numFmtId="219" formatCode="0.0000000000000000%"/>
    <numFmt numFmtId="220" formatCode="#,##0.0"/>
    <numFmt numFmtId="221" formatCode="_(&quot;$&quot;* #,##0.00000000_);_(&quot;$&quot;* \(#,##0.00000000\);_(&quot;$&quot;* &quot;-&quot;????????_);_(@_)"/>
    <numFmt numFmtId="222" formatCode="_(&quot;$&quot;* #,##0.000_);_(&quot;$&quot;* \(#,##0.000\);_(&quot;$&quot;* &quot;-&quot;???_);_(@_)"/>
    <numFmt numFmtId="223" formatCode="_(&quot;$&quot;* #,##0.000000_);_(&quot;$&quot;* \(#,##0.000000\);_(&quot;$&quot;* &quot;-&quot;??????_);_(@_)"/>
  </numFmts>
  <fonts count="15">
    <font>
      <sz val="10"/>
      <name val="Arial"/>
      <family val="0"/>
    </font>
    <font>
      <b/>
      <sz val="10"/>
      <name val="Arial"/>
      <family val="0"/>
    </font>
    <font>
      <i/>
      <sz val="10"/>
      <name val="Arial"/>
      <family val="0"/>
    </font>
    <font>
      <b/>
      <i/>
      <sz val="10"/>
      <name val="Arial"/>
      <family val="0"/>
    </font>
    <font>
      <b/>
      <sz val="10"/>
      <name val="Impact"/>
      <family val="0"/>
    </font>
    <font>
      <sz val="10"/>
      <color indexed="12"/>
      <name val="Arial"/>
      <family val="2"/>
    </font>
    <font>
      <sz val="9"/>
      <name val="Arial"/>
      <family val="2"/>
    </font>
    <font>
      <u val="single"/>
      <sz val="7.5"/>
      <color indexed="12"/>
      <name val="Arial"/>
      <family val="0"/>
    </font>
    <font>
      <sz val="10"/>
      <color indexed="8"/>
      <name val="MS Sans Serif"/>
      <family val="0"/>
    </font>
    <font>
      <sz val="12"/>
      <name val="Arial"/>
      <family val="2"/>
    </font>
    <font>
      <b/>
      <sz val="12"/>
      <name val="Arial"/>
      <family val="2"/>
    </font>
    <font>
      <sz val="11"/>
      <name val="Arial"/>
      <family val="2"/>
    </font>
    <font>
      <u val="single"/>
      <sz val="10"/>
      <name val="Arial"/>
      <family val="2"/>
    </font>
    <font>
      <b/>
      <sz val="10"/>
      <color indexed="8"/>
      <name val="Arial"/>
      <family val="2"/>
    </font>
    <font>
      <sz val="10"/>
      <color indexed="8"/>
      <name val="Arial"/>
      <family val="0"/>
    </font>
  </fonts>
  <fills count="5">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22"/>
        <bgColor indexed="64"/>
      </patternFill>
    </fill>
  </fills>
  <borders count="49">
    <border>
      <left/>
      <right/>
      <top/>
      <bottom/>
      <diagonal/>
    </border>
    <border>
      <left style="thin"/>
      <right style="thin"/>
      <top style="double"/>
      <bottom style="double"/>
    </border>
    <border>
      <left style="medium"/>
      <right style="thin"/>
      <top style="double"/>
      <bottom style="double"/>
    </border>
    <border>
      <left>
        <color indexed="63"/>
      </left>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thin"/>
      <right style="thin"/>
      <top style="thin"/>
      <bottom style="thin"/>
    </border>
    <border>
      <left>
        <color indexed="63"/>
      </left>
      <right>
        <color indexed="63"/>
      </right>
      <top>
        <color indexed="63"/>
      </top>
      <bottom style="thin"/>
    </border>
    <border>
      <left style="hair"/>
      <right style="hair"/>
      <top style="double"/>
      <bottom style="hair"/>
    </border>
    <border>
      <left style="thick"/>
      <right style="thick"/>
      <top style="thick"/>
      <bottom style="thick"/>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thin">
        <color indexed="22"/>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top style="thin">
        <color indexed="22"/>
      </top>
      <bottom>
        <color indexed="63"/>
      </bottom>
    </border>
    <border>
      <left>
        <color indexed="63"/>
      </left>
      <right>
        <color indexed="63"/>
      </right>
      <top style="thin">
        <color indexed="22"/>
      </top>
      <bottom style="thin">
        <color indexed="22"/>
      </bottom>
    </border>
    <border>
      <left style="medium"/>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cellStyleXfs>
  <cellXfs count="225">
    <xf numFmtId="0" fontId="0" fillId="0" borderId="0" xfId="0" applyAlignment="1">
      <alignment/>
    </xf>
    <xf numFmtId="49" fontId="0" fillId="0" borderId="0" xfId="0" applyNumberFormat="1" applyAlignment="1">
      <alignment horizontal="centerContinuous"/>
    </xf>
    <xf numFmtId="0" fontId="0" fillId="0" borderId="0" xfId="0" applyAlignment="1">
      <alignment horizontal="centerContinuous"/>
    </xf>
    <xf numFmtId="0" fontId="0" fillId="0" borderId="0" xfId="0" applyAlignment="1">
      <alignment horizontal="left"/>
    </xf>
    <xf numFmtId="0" fontId="0" fillId="0" borderId="1" xfId="0" applyBorder="1" applyAlignment="1">
      <alignment/>
    </xf>
    <xf numFmtId="0" fontId="4" fillId="0" borderId="0" xfId="0" applyFont="1" applyAlignment="1">
      <alignment horizontal="centerContinuous"/>
    </xf>
    <xf numFmtId="0" fontId="0" fillId="0" borderId="2" xfId="0" applyBorder="1" applyAlignment="1">
      <alignment horizontal="center"/>
    </xf>
    <xf numFmtId="49" fontId="1" fillId="0" borderId="0" xfId="0" applyNumberFormat="1" applyFont="1" applyAlignment="1">
      <alignment horizontal="centerContinuous"/>
    </xf>
    <xf numFmtId="0" fontId="1" fillId="0" borderId="0" xfId="0" applyFont="1" applyAlignment="1">
      <alignment/>
    </xf>
    <xf numFmtId="0" fontId="1" fillId="0" borderId="0" xfId="0" applyFont="1" applyAlignment="1">
      <alignment/>
    </xf>
    <xf numFmtId="0" fontId="0" fillId="0" borderId="3" xfId="0" applyBorder="1" applyAlignment="1">
      <alignment/>
    </xf>
    <xf numFmtId="0" fontId="0" fillId="0" borderId="0" xfId="0" applyBorder="1" applyAlignment="1">
      <alignment/>
    </xf>
    <xf numFmtId="0" fontId="0" fillId="0" borderId="1" xfId="0" applyBorder="1" applyAlignment="1">
      <alignment horizontal="center"/>
    </xf>
    <xf numFmtId="49" fontId="3" fillId="2" borderId="0" xfId="0" applyNumberFormat="1" applyFont="1" applyFill="1" applyBorder="1" applyAlignment="1">
      <alignment horizontal="centerContinuous"/>
    </xf>
    <xf numFmtId="0" fontId="0" fillId="2" borderId="0" xfId="0" applyFill="1" applyBorder="1" applyAlignment="1">
      <alignment horizontal="centerContinuous"/>
    </xf>
    <xf numFmtId="0" fontId="2" fillId="2" borderId="0" xfId="0" applyFont="1" applyFill="1" applyBorder="1" applyAlignment="1">
      <alignment horizontal="centerContinuous"/>
    </xf>
    <xf numFmtId="0" fontId="0" fillId="0" borderId="0" xfId="0" applyBorder="1" applyAlignment="1">
      <alignment horizontal="center"/>
    </xf>
    <xf numFmtId="0" fontId="1" fillId="0" borderId="0" xfId="0" applyFont="1" applyAlignment="1">
      <alignment/>
    </xf>
    <xf numFmtId="0" fontId="0" fillId="0" borderId="0" xfId="0" applyFont="1" applyAlignment="1">
      <alignment/>
    </xf>
    <xf numFmtId="0" fontId="0" fillId="2" borderId="0" xfId="0" applyFill="1" applyBorder="1" applyAlignment="1">
      <alignment horizontal="center"/>
    </xf>
    <xf numFmtId="49" fontId="3" fillId="3" borderId="4" xfId="0" applyNumberFormat="1" applyFont="1" applyFill="1" applyBorder="1" applyAlignment="1">
      <alignment horizontal="centerContinuous"/>
    </xf>
    <xf numFmtId="49" fontId="3" fillId="3" borderId="5" xfId="0" applyNumberFormat="1" applyFont="1" applyFill="1" applyBorder="1" applyAlignment="1">
      <alignment horizontal="centerContinuous"/>
    </xf>
    <xf numFmtId="0" fontId="2" fillId="3" borderId="5" xfId="0" applyFont="1" applyFill="1" applyBorder="1" applyAlignment="1">
      <alignment horizontal="centerContinuous"/>
    </xf>
    <xf numFmtId="0" fontId="2" fillId="3" borderId="6" xfId="0" applyFont="1" applyFill="1" applyBorder="1" applyAlignment="1">
      <alignment horizontal="centerContinuous"/>
    </xf>
    <xf numFmtId="0" fontId="0" fillId="0" borderId="0" xfId="0" applyFill="1" applyAlignment="1">
      <alignment/>
    </xf>
    <xf numFmtId="0" fontId="0" fillId="0" borderId="0" xfId="0" applyFill="1" applyAlignment="1">
      <alignment horizontal="center"/>
    </xf>
    <xf numFmtId="7" fontId="0" fillId="0" borderId="0" xfId="0" applyNumberFormat="1" applyFill="1" applyAlignment="1">
      <alignment/>
    </xf>
    <xf numFmtId="7" fontId="0" fillId="0" borderId="0" xfId="0" applyNumberFormat="1" applyFill="1" applyAlignment="1">
      <alignment horizontal="center"/>
    </xf>
    <xf numFmtId="0" fontId="0" fillId="0" borderId="7" xfId="0" applyFont="1" applyBorder="1" applyAlignment="1">
      <alignment/>
    </xf>
    <xf numFmtId="0" fontId="0" fillId="0" borderId="7" xfId="0" applyFont="1" applyFill="1" applyBorder="1" applyAlignment="1">
      <alignment/>
    </xf>
    <xf numFmtId="0" fontId="0" fillId="0" borderId="0" xfId="0" applyFill="1" applyAlignment="1">
      <alignment horizontal="left"/>
    </xf>
    <xf numFmtId="7" fontId="0" fillId="0" borderId="0" xfId="0" applyNumberFormat="1" applyFill="1" applyBorder="1" applyAlignment="1">
      <alignment horizontal="center"/>
    </xf>
    <xf numFmtId="44" fontId="0" fillId="0" borderId="8" xfId="0" applyNumberFormat="1" applyBorder="1" applyAlignment="1">
      <alignment/>
    </xf>
    <xf numFmtId="44" fontId="0" fillId="0" borderId="0" xfId="0" applyNumberFormat="1" applyAlignment="1">
      <alignment/>
    </xf>
    <xf numFmtId="44" fontId="0" fillId="0" borderId="3" xfId="0" applyNumberFormat="1" applyBorder="1" applyAlignment="1">
      <alignment/>
    </xf>
    <xf numFmtId="44" fontId="0" fillId="0" borderId="9" xfId="0" applyNumberFormat="1" applyBorder="1" applyAlignment="1">
      <alignment/>
    </xf>
    <xf numFmtId="44" fontId="0" fillId="0" borderId="0" xfId="0" applyNumberFormat="1" applyBorder="1" applyAlignment="1">
      <alignment/>
    </xf>
    <xf numFmtId="44" fontId="1" fillId="0" borderId="0" xfId="0" applyNumberFormat="1" applyFont="1" applyBorder="1" applyAlignment="1">
      <alignment/>
    </xf>
    <xf numFmtId="44" fontId="1" fillId="0" borderId="9" xfId="0" applyNumberFormat="1" applyFont="1" applyBorder="1" applyAlignment="1">
      <alignment/>
    </xf>
    <xf numFmtId="44" fontId="0" fillId="0" borderId="0" xfId="0" applyNumberFormat="1" applyFont="1" applyAlignment="1">
      <alignment/>
    </xf>
    <xf numFmtId="44" fontId="0" fillId="0" borderId="0" xfId="0" applyNumberFormat="1" applyFont="1" applyBorder="1" applyAlignment="1">
      <alignment/>
    </xf>
    <xf numFmtId="44" fontId="1" fillId="0" borderId="8" xfId="0" applyNumberFormat="1" applyFont="1" applyBorder="1" applyAlignment="1">
      <alignment/>
    </xf>
    <xf numFmtId="49" fontId="0" fillId="2" borderId="0" xfId="0" applyNumberFormat="1" applyFont="1" applyFill="1" applyBorder="1" applyAlignment="1">
      <alignment horizontal="centerContinuous"/>
    </xf>
    <xf numFmtId="0" fontId="0" fillId="0" borderId="7" xfId="0" applyFont="1" applyFill="1" applyBorder="1" applyAlignment="1">
      <alignment horizontal="center"/>
    </xf>
    <xf numFmtId="4" fontId="0" fillId="0" borderId="7" xfId="0" applyNumberFormat="1" applyFont="1" applyFill="1" applyBorder="1" applyAlignment="1">
      <alignment/>
    </xf>
    <xf numFmtId="44" fontId="0" fillId="0" borderId="7" xfId="0" applyNumberFormat="1" applyFont="1" applyFill="1" applyBorder="1" applyAlignment="1">
      <alignment/>
    </xf>
    <xf numFmtId="44" fontId="0" fillId="0" borderId="7" xfId="0" applyNumberFormat="1" applyFont="1" applyBorder="1" applyAlignment="1">
      <alignment/>
    </xf>
    <xf numFmtId="7" fontId="0" fillId="0" borderId="0" xfId="0" applyNumberFormat="1" applyFont="1" applyFill="1" applyAlignment="1">
      <alignment horizontal="center"/>
    </xf>
    <xf numFmtId="44" fontId="0" fillId="0" borderId="0" xfId="17" applyFont="1" applyFill="1" applyAlignment="1">
      <alignment/>
    </xf>
    <xf numFmtId="0" fontId="0" fillId="0" borderId="0" xfId="0" applyFont="1" applyFill="1" applyAlignment="1">
      <alignment/>
    </xf>
    <xf numFmtId="44" fontId="0" fillId="0" borderId="0" xfId="0" applyNumberFormat="1" applyFill="1" applyAlignment="1">
      <alignment/>
    </xf>
    <xf numFmtId="44" fontId="0" fillId="0" borderId="8" xfId="0" applyNumberFormat="1" applyFill="1" applyBorder="1" applyAlignment="1">
      <alignment/>
    </xf>
    <xf numFmtId="44" fontId="0" fillId="0" borderId="9" xfId="0" applyNumberFormat="1"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4" fontId="0" fillId="0" borderId="10" xfId="0" applyNumberFormat="1" applyFont="1" applyBorder="1" applyAlignment="1">
      <alignment/>
    </xf>
    <xf numFmtId="44" fontId="0" fillId="0" borderId="10" xfId="0" applyNumberFormat="1" applyFont="1" applyBorder="1" applyAlignment="1">
      <alignment/>
    </xf>
    <xf numFmtId="7" fontId="0" fillId="0" borderId="0" xfId="0" applyNumberFormat="1" applyFont="1" applyAlignment="1">
      <alignment horizontal="center"/>
    </xf>
    <xf numFmtId="0" fontId="0" fillId="0" borderId="7" xfId="0" applyFont="1" applyBorder="1" applyAlignment="1">
      <alignment horizontal="center"/>
    </xf>
    <xf numFmtId="2" fontId="0" fillId="0" borderId="7" xfId="0" applyNumberFormat="1" applyFont="1" applyBorder="1" applyAlignment="1">
      <alignment/>
    </xf>
    <xf numFmtId="0" fontId="0" fillId="0" borderId="0" xfId="0" applyFont="1" applyBorder="1" applyAlignment="1">
      <alignment horizontal="center"/>
    </xf>
    <xf numFmtId="2" fontId="0" fillId="0" borderId="0" xfId="0" applyNumberFormat="1" applyFont="1" applyAlignment="1">
      <alignment/>
    </xf>
    <xf numFmtId="10" fontId="0" fillId="0" borderId="0" xfId="22" applyNumberFormat="1" applyAlignment="1">
      <alignment/>
    </xf>
    <xf numFmtId="9" fontId="0" fillId="0" borderId="0" xfId="22" applyAlignment="1">
      <alignment/>
    </xf>
    <xf numFmtId="0" fontId="0" fillId="0" borderId="0" xfId="0" applyAlignment="1" quotePrefix="1">
      <alignment horizontal="left"/>
    </xf>
    <xf numFmtId="0" fontId="0" fillId="0" borderId="9" xfId="0" applyBorder="1" applyAlignment="1">
      <alignment/>
    </xf>
    <xf numFmtId="0" fontId="6" fillId="0" borderId="0" xfId="0" applyFont="1" applyAlignment="1">
      <alignment horizontal="right"/>
    </xf>
    <xf numFmtId="0" fontId="0" fillId="0" borderId="0" xfId="0" applyAlignment="1">
      <alignment horizontal="right"/>
    </xf>
    <xf numFmtId="44" fontId="0" fillId="0" borderId="0" xfId="17" applyAlignment="1">
      <alignment/>
    </xf>
    <xf numFmtId="44" fontId="1" fillId="0" borderId="0" xfId="0" applyNumberFormat="1"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3" xfId="0" applyFont="1" applyBorder="1" applyAlignment="1">
      <alignment/>
    </xf>
    <xf numFmtId="0" fontId="10"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11" fillId="0" borderId="0" xfId="0" applyFont="1" applyAlignment="1">
      <alignment/>
    </xf>
    <xf numFmtId="0" fontId="9" fillId="0" borderId="0" xfId="0" applyFont="1" applyAlignment="1">
      <alignment vertical="top" wrapText="1"/>
    </xf>
    <xf numFmtId="44" fontId="9" fillId="0" borderId="0" xfId="17" applyNumberFormat="1" applyFont="1" applyFill="1" applyBorder="1" applyAlignment="1" quotePrefix="1">
      <alignment/>
    </xf>
    <xf numFmtId="9" fontId="0" fillId="0" borderId="0" xfId="22" applyFont="1" applyAlignment="1">
      <alignment/>
    </xf>
    <xf numFmtId="44" fontId="9" fillId="0" borderId="0" xfId="17" applyFont="1" applyBorder="1" applyAlignment="1">
      <alignment/>
    </xf>
    <xf numFmtId="44" fontId="9" fillId="0" borderId="8" xfId="17" applyFont="1" applyBorder="1" applyAlignment="1">
      <alignment/>
    </xf>
    <xf numFmtId="0" fontId="10" fillId="0" borderId="0" xfId="0" applyFont="1" applyAlignment="1">
      <alignment/>
    </xf>
    <xf numFmtId="168" fontId="9" fillId="0" borderId="0" xfId="0" applyNumberFormat="1" applyFont="1" applyAlignment="1">
      <alignment/>
    </xf>
    <xf numFmtId="44" fontId="9" fillId="0" borderId="0" xfId="17" applyFont="1" applyAlignment="1">
      <alignment/>
    </xf>
    <xf numFmtId="44" fontId="9" fillId="0" borderId="8" xfId="17" applyNumberFormat="1" applyFont="1" applyBorder="1" applyAlignment="1">
      <alignment/>
    </xf>
    <xf numFmtId="44" fontId="9" fillId="0" borderId="0" xfId="0" applyNumberFormat="1" applyFont="1" applyAlignment="1">
      <alignment/>
    </xf>
    <xf numFmtId="44" fontId="9" fillId="0" borderId="8" xfId="17" applyFont="1" applyFill="1" applyBorder="1" applyAlignment="1">
      <alignment/>
    </xf>
    <xf numFmtId="44" fontId="10" fillId="0" borderId="11" xfId="17"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horizontal="center"/>
    </xf>
    <xf numFmtId="0" fontId="1" fillId="0" borderId="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xf>
    <xf numFmtId="0" fontId="1" fillId="0" borderId="9" xfId="0" applyFont="1" applyBorder="1" applyAlignment="1">
      <alignment/>
    </xf>
    <xf numFmtId="0" fontId="1" fillId="0" borderId="20" xfId="0" applyFont="1" applyBorder="1" applyAlignment="1">
      <alignment horizontal="center"/>
    </xf>
    <xf numFmtId="0" fontId="0" fillId="0" borderId="21" xfId="0" applyFill="1" applyBorder="1" applyAlignment="1">
      <alignment/>
    </xf>
    <xf numFmtId="42" fontId="0" fillId="0" borderId="22" xfId="17" applyNumberFormat="1" applyFill="1" applyBorder="1" applyAlignment="1">
      <alignment/>
    </xf>
    <xf numFmtId="42" fontId="0" fillId="0" borderId="0" xfId="17" applyNumberFormat="1" applyFont="1" applyBorder="1" applyAlignment="1">
      <alignment/>
    </xf>
    <xf numFmtId="167" fontId="0" fillId="0" borderId="0" xfId="17" applyNumberFormat="1" applyFont="1" applyBorder="1" applyAlignment="1">
      <alignment horizontal="right"/>
    </xf>
    <xf numFmtId="167" fontId="0" fillId="0" borderId="0" xfId="0" applyNumberFormat="1" applyBorder="1" applyAlignment="1">
      <alignment horizontal="right"/>
    </xf>
    <xf numFmtId="3" fontId="0" fillId="0" borderId="0" xfId="0" applyNumberFormat="1" applyAlignment="1">
      <alignment/>
    </xf>
    <xf numFmtId="0" fontId="0" fillId="0" borderId="15" xfId="0" applyFill="1" applyBorder="1" applyAlignment="1">
      <alignment/>
    </xf>
    <xf numFmtId="42" fontId="0" fillId="0" borderId="20" xfId="17" applyNumberFormat="1" applyFill="1" applyBorder="1" applyAlignment="1">
      <alignment/>
    </xf>
    <xf numFmtId="42" fontId="0" fillId="0" borderId="9" xfId="17" applyNumberFormat="1" applyFont="1" applyBorder="1" applyAlignment="1">
      <alignment/>
    </xf>
    <xf numFmtId="167" fontId="0" fillId="0" borderId="9" xfId="17" applyNumberFormat="1" applyFont="1" applyBorder="1" applyAlignment="1">
      <alignment horizontal="right"/>
    </xf>
    <xf numFmtId="167" fontId="0" fillId="0" borderId="9" xfId="0" applyNumberFormat="1" applyBorder="1" applyAlignment="1">
      <alignment horizontal="right"/>
    </xf>
    <xf numFmtId="0" fontId="1" fillId="0" borderId="23" xfId="0" applyFont="1" applyBorder="1" applyAlignment="1">
      <alignment horizontal="left"/>
    </xf>
    <xf numFmtId="0" fontId="0" fillId="0" borderId="24" xfId="0" applyBorder="1" applyAlignment="1">
      <alignment/>
    </xf>
    <xf numFmtId="3" fontId="1" fillId="0" borderId="24" xfId="0" applyNumberFormat="1" applyFont="1" applyBorder="1" applyAlignment="1">
      <alignment/>
    </xf>
    <xf numFmtId="169" fontId="1" fillId="0" borderId="25" xfId="0" applyNumberFormat="1" applyFont="1" applyBorder="1" applyAlignment="1">
      <alignment/>
    </xf>
    <xf numFmtId="44" fontId="1" fillId="0" borderId="26" xfId="0" applyNumberFormat="1" applyFont="1" applyBorder="1" applyAlignment="1">
      <alignment/>
    </xf>
    <xf numFmtId="44" fontId="1" fillId="0" borderId="24" xfId="0" applyNumberFormat="1" applyFont="1" applyBorder="1" applyAlignment="1">
      <alignment/>
    </xf>
    <xf numFmtId="44" fontId="1" fillId="0" borderId="25" xfId="0" applyNumberFormat="1" applyFont="1" applyBorder="1" applyAlignment="1">
      <alignment/>
    </xf>
    <xf numFmtId="0" fontId="0" fillId="0" borderId="26" xfId="0" applyBorder="1" applyAlignment="1">
      <alignment/>
    </xf>
    <xf numFmtId="42" fontId="1" fillId="0" borderId="25" xfId="0" applyNumberFormat="1" applyFont="1" applyBorder="1" applyAlignment="1">
      <alignment/>
    </xf>
    <xf numFmtId="42" fontId="1" fillId="0" borderId="24" xfId="0" applyNumberFormat="1" applyFont="1" applyBorder="1" applyAlignment="1">
      <alignment/>
    </xf>
    <xf numFmtId="167" fontId="1" fillId="0" borderId="24" xfId="0" applyNumberFormat="1" applyFont="1" applyBorder="1" applyAlignment="1">
      <alignment horizontal="right"/>
    </xf>
    <xf numFmtId="44" fontId="0" fillId="0" borderId="0" xfId="0" applyNumberFormat="1" applyAlignment="1" quotePrefix="1">
      <alignment/>
    </xf>
    <xf numFmtId="0" fontId="1" fillId="0" borderId="0" xfId="0" applyFont="1" applyBorder="1" applyAlignment="1">
      <alignment horizontal="left"/>
    </xf>
    <xf numFmtId="3" fontId="1" fillId="0" borderId="0" xfId="0" applyNumberFormat="1" applyFont="1" applyAlignment="1">
      <alignment/>
    </xf>
    <xf numFmtId="42" fontId="1" fillId="0" borderId="0" xfId="0" applyNumberFormat="1" applyFont="1" applyAlignment="1">
      <alignment/>
    </xf>
    <xf numFmtId="167" fontId="1" fillId="0" borderId="0" xfId="0" applyNumberFormat="1" applyFont="1" applyAlignment="1">
      <alignment/>
    </xf>
    <xf numFmtId="167" fontId="2" fillId="0" borderId="0" xfId="0" applyNumberFormat="1" applyFont="1" applyBorder="1" applyAlignment="1">
      <alignment horizontal="right"/>
    </xf>
    <xf numFmtId="170" fontId="0" fillId="0" borderId="0" xfId="0" applyNumberFormat="1" applyAlignment="1">
      <alignment/>
    </xf>
    <xf numFmtId="1" fontId="0" fillId="0" borderId="0" xfId="0" applyNumberFormat="1" applyAlignment="1">
      <alignment/>
    </xf>
    <xf numFmtId="170" fontId="1" fillId="0" borderId="0" xfId="0" applyNumberFormat="1" applyFont="1" applyAlignment="1">
      <alignment/>
    </xf>
    <xf numFmtId="1" fontId="1" fillId="0" borderId="0" xfId="0" applyNumberFormat="1" applyFont="1" applyAlignment="1">
      <alignment/>
    </xf>
    <xf numFmtId="223" fontId="0" fillId="0" borderId="27" xfId="0" applyNumberFormat="1" applyBorder="1" applyAlignment="1" quotePrefix="1">
      <alignment/>
    </xf>
    <xf numFmtId="42" fontId="0" fillId="0" borderId="0" xfId="17" applyNumberFormat="1" applyAlignment="1">
      <alignment/>
    </xf>
    <xf numFmtId="42" fontId="1" fillId="0" borderId="0" xfId="17" applyNumberFormat="1" applyFont="1" applyAlignment="1">
      <alignment/>
    </xf>
    <xf numFmtId="0" fontId="0" fillId="0" borderId="14" xfId="0" applyFont="1" applyFill="1" applyBorder="1" applyAlignment="1">
      <alignment horizontal="left"/>
    </xf>
    <xf numFmtId="0" fontId="0" fillId="0" borderId="0" xfId="0" applyFill="1" applyBorder="1" applyAlignment="1">
      <alignment/>
    </xf>
    <xf numFmtId="1" fontId="0" fillId="0" borderId="0" xfId="0" applyNumberFormat="1" applyFill="1" applyBorder="1" applyAlignment="1">
      <alignment/>
    </xf>
    <xf numFmtId="3" fontId="1" fillId="0" borderId="0" xfId="0" applyNumberFormat="1" applyFont="1" applyFill="1" applyBorder="1" applyAlignment="1">
      <alignment horizontal="center"/>
    </xf>
    <xf numFmtId="169" fontId="0" fillId="0" borderId="22" xfId="22" applyNumberFormat="1" applyFill="1" applyBorder="1" applyAlignment="1">
      <alignment/>
    </xf>
    <xf numFmtId="44" fontId="0" fillId="0" borderId="21" xfId="17" applyFill="1" applyBorder="1" applyAlignment="1">
      <alignment/>
    </xf>
    <xf numFmtId="44" fontId="0" fillId="0" borderId="0" xfId="17" applyFill="1" applyBorder="1" applyAlignment="1">
      <alignment/>
    </xf>
    <xf numFmtId="44" fontId="0" fillId="0" borderId="22" xfId="17" applyFill="1" applyBorder="1" applyAlignment="1">
      <alignment/>
    </xf>
    <xf numFmtId="44" fontId="0" fillId="0" borderId="0" xfId="0" applyNumberFormat="1" applyFont="1" applyAlignment="1" quotePrefix="1">
      <alignment/>
    </xf>
    <xf numFmtId="4" fontId="0" fillId="0" borderId="21" xfId="0" applyNumberFormat="1" applyFill="1" applyBorder="1" applyAlignment="1">
      <alignment/>
    </xf>
    <xf numFmtId="4" fontId="0" fillId="0" borderId="0" xfId="0" applyNumberFormat="1" applyFill="1" applyBorder="1" applyAlignment="1">
      <alignment/>
    </xf>
    <xf numFmtId="4" fontId="1" fillId="0" borderId="26" xfId="0" applyNumberFormat="1" applyFont="1" applyBorder="1" applyAlignment="1">
      <alignment/>
    </xf>
    <xf numFmtId="4" fontId="1" fillId="0" borderId="24" xfId="0" applyNumberFormat="1" applyFont="1" applyBorder="1" applyAlignment="1">
      <alignment/>
    </xf>
    <xf numFmtId="44" fontId="0" fillId="0" borderId="0" xfId="17" applyAlignment="1">
      <alignment/>
    </xf>
    <xf numFmtId="167" fontId="0" fillId="0" borderId="0" xfId="0" applyNumberFormat="1" applyAlignment="1">
      <alignment/>
    </xf>
    <xf numFmtId="42" fontId="0" fillId="0" borderId="0" xfId="0" applyNumberFormat="1" applyAlignment="1">
      <alignment/>
    </xf>
    <xf numFmtId="0" fontId="0" fillId="0" borderId="12" xfId="0" applyBorder="1" applyAlignment="1">
      <alignment/>
    </xf>
    <xf numFmtId="0" fontId="0" fillId="0" borderId="13" xfId="0" applyBorder="1" applyAlignment="1">
      <alignment/>
    </xf>
    <xf numFmtId="3" fontId="0" fillId="0" borderId="13" xfId="0" applyNumberFormat="1" applyBorder="1" applyAlignment="1">
      <alignment/>
    </xf>
    <xf numFmtId="3" fontId="1" fillId="0" borderId="28" xfId="0" applyNumberFormat="1" applyFont="1" applyBorder="1" applyAlignment="1">
      <alignment horizontal="right"/>
    </xf>
    <xf numFmtId="0" fontId="13" fillId="4" borderId="29" xfId="21" applyFont="1" applyFill="1" applyBorder="1" applyAlignment="1">
      <alignment horizontal="left"/>
      <protection/>
    </xf>
    <xf numFmtId="0" fontId="13" fillId="4" borderId="30" xfId="21" applyFont="1" applyFill="1" applyBorder="1" applyAlignment="1">
      <alignment horizontal="left"/>
      <protection/>
    </xf>
    <xf numFmtId="3" fontId="13" fillId="4" borderId="30" xfId="21" applyNumberFormat="1" applyFont="1" applyFill="1" applyBorder="1" applyAlignment="1">
      <alignment horizontal="center"/>
      <protection/>
    </xf>
    <xf numFmtId="3" fontId="13" fillId="4" borderId="31" xfId="21" applyNumberFormat="1" applyFont="1" applyFill="1" applyBorder="1" applyAlignment="1">
      <alignment horizontal="center"/>
      <protection/>
    </xf>
    <xf numFmtId="3" fontId="14" fillId="0" borderId="32" xfId="21" applyNumberFormat="1" applyFont="1" applyFill="1" applyBorder="1" applyAlignment="1">
      <alignment horizontal="right" wrapText="1"/>
      <protection/>
    </xf>
    <xf numFmtId="3" fontId="14" fillId="0" borderId="33" xfId="21" applyNumberFormat="1" applyFont="1" applyFill="1" applyBorder="1" applyAlignment="1">
      <alignment horizontal="right" wrapText="1"/>
      <protection/>
    </xf>
    <xf numFmtId="3" fontId="14" fillId="0" borderId="34" xfId="21" applyNumberFormat="1" applyFont="1" applyFill="1" applyBorder="1" applyAlignment="1">
      <alignment horizontal="left" wrapText="1"/>
      <protection/>
    </xf>
    <xf numFmtId="3" fontId="14" fillId="0" borderId="32" xfId="21" applyNumberFormat="1" applyFont="1" applyFill="1" applyBorder="1" applyAlignment="1">
      <alignment horizontal="left" wrapText="1"/>
      <protection/>
    </xf>
    <xf numFmtId="0" fontId="14" fillId="0" borderId="34" xfId="21" applyFont="1" applyFill="1" applyBorder="1" applyAlignment="1">
      <alignment horizontal="left" wrapText="1"/>
      <protection/>
    </xf>
    <xf numFmtId="0" fontId="14" fillId="0" borderId="32" xfId="20" applyFont="1" applyFill="1" applyBorder="1" applyAlignment="1">
      <alignment horizontal="left" wrapText="1"/>
      <protection/>
    </xf>
    <xf numFmtId="0" fontId="14" fillId="0" borderId="32" xfId="21" applyFont="1" applyFill="1" applyBorder="1" applyAlignment="1">
      <alignment horizontal="left" wrapText="1"/>
      <protection/>
    </xf>
    <xf numFmtId="3" fontId="14" fillId="0" borderId="34" xfId="21" applyNumberFormat="1" applyFont="1" applyFill="1" applyBorder="1" applyAlignment="1">
      <alignment wrapText="1"/>
      <protection/>
    </xf>
    <xf numFmtId="3" fontId="14" fillId="0" borderId="32" xfId="21" applyNumberFormat="1" applyFont="1" applyFill="1" applyBorder="1" applyAlignment="1">
      <alignment wrapText="1"/>
      <protection/>
    </xf>
    <xf numFmtId="3" fontId="14" fillId="0" borderId="34" xfId="21" applyNumberFormat="1" applyFont="1" applyFill="1" applyBorder="1" applyAlignment="1">
      <alignment wrapText="1"/>
      <protection/>
    </xf>
    <xf numFmtId="0" fontId="14" fillId="0" borderId="34" xfId="21" applyFont="1" applyFill="1" applyBorder="1" applyAlignment="1">
      <alignment horizontal="left" vertical="top" wrapText="1"/>
      <protection/>
    </xf>
    <xf numFmtId="0" fontId="14" fillId="0" borderId="32" xfId="20" applyFont="1" applyFill="1" applyBorder="1" applyAlignment="1">
      <alignment horizontal="left" vertical="top" wrapText="1"/>
      <protection/>
    </xf>
    <xf numFmtId="0" fontId="14" fillId="0" borderId="32" xfId="21" applyFont="1" applyFill="1" applyBorder="1" applyAlignment="1">
      <alignment horizontal="left" vertical="top" wrapText="1"/>
      <protection/>
    </xf>
    <xf numFmtId="3" fontId="14" fillId="0" borderId="32" xfId="21" applyNumberFormat="1" applyFont="1" applyFill="1" applyBorder="1" applyAlignment="1">
      <alignment horizontal="right" vertical="top" wrapText="1"/>
      <protection/>
    </xf>
    <xf numFmtId="3" fontId="14" fillId="0" borderId="33" xfId="21" applyNumberFormat="1" applyFont="1" applyFill="1" applyBorder="1" applyAlignment="1">
      <alignment horizontal="right" vertical="top" wrapText="1"/>
      <protection/>
    </xf>
    <xf numFmtId="3" fontId="14" fillId="0" borderId="35" xfId="21" applyNumberFormat="1" applyFont="1" applyFill="1" applyBorder="1" applyAlignment="1">
      <alignment horizontal="left" wrapText="1"/>
      <protection/>
    </xf>
    <xf numFmtId="3" fontId="14" fillId="0" borderId="36" xfId="21" applyNumberFormat="1" applyFont="1" applyFill="1" applyBorder="1" applyAlignment="1">
      <alignment horizontal="left" wrapText="1"/>
      <protection/>
    </xf>
    <xf numFmtId="3" fontId="14" fillId="0" borderId="36" xfId="21" applyNumberFormat="1" applyFont="1" applyFill="1" applyBorder="1" applyAlignment="1">
      <alignment horizontal="right" wrapText="1"/>
      <protection/>
    </xf>
    <xf numFmtId="3" fontId="14" fillId="0" borderId="37" xfId="21" applyNumberFormat="1" applyFont="1" applyFill="1" applyBorder="1" applyAlignment="1">
      <alignment horizontal="right" wrapText="1"/>
      <protection/>
    </xf>
    <xf numFmtId="3" fontId="13" fillId="0" borderId="35" xfId="21" applyNumberFormat="1" applyFont="1" applyFill="1" applyBorder="1" applyAlignment="1">
      <alignment horizontal="left" wrapText="1"/>
      <protection/>
    </xf>
    <xf numFmtId="3" fontId="13" fillId="0" borderId="38" xfId="21" applyNumberFormat="1" applyFont="1" applyFill="1" applyBorder="1" applyAlignment="1">
      <alignment horizontal="right" wrapText="1"/>
      <protection/>
    </xf>
    <xf numFmtId="3" fontId="13" fillId="0" borderId="35" xfId="21" applyNumberFormat="1" applyFont="1" applyFill="1" applyBorder="1" applyAlignment="1">
      <alignment wrapText="1"/>
      <protection/>
    </xf>
    <xf numFmtId="3" fontId="13" fillId="0" borderId="36" xfId="21" applyNumberFormat="1" applyFont="1" applyFill="1" applyBorder="1" applyAlignment="1">
      <alignment wrapText="1"/>
      <protection/>
    </xf>
    <xf numFmtId="3" fontId="13" fillId="0" borderId="37" xfId="21" applyNumberFormat="1" applyFont="1" applyFill="1" applyBorder="1" applyAlignment="1">
      <alignment wrapText="1"/>
      <protection/>
    </xf>
    <xf numFmtId="3" fontId="13" fillId="0" borderId="36" xfId="21" applyNumberFormat="1" applyFont="1" applyFill="1" applyBorder="1" applyAlignment="1">
      <alignment horizontal="left" wrapText="1"/>
      <protection/>
    </xf>
    <xf numFmtId="3" fontId="13" fillId="0" borderId="37" xfId="21" applyNumberFormat="1" applyFont="1" applyFill="1" applyBorder="1" applyAlignment="1">
      <alignment horizontal="left" wrapText="1"/>
      <protection/>
    </xf>
    <xf numFmtId="3" fontId="14" fillId="0" borderId="35" xfId="21" applyNumberFormat="1" applyFont="1" applyFill="1" applyBorder="1" applyAlignment="1">
      <alignment wrapText="1"/>
      <protection/>
    </xf>
    <xf numFmtId="169" fontId="14" fillId="0" borderId="36" xfId="22" applyNumberFormat="1" applyFont="1" applyFill="1" applyBorder="1" applyAlignment="1">
      <alignment wrapText="1"/>
    </xf>
    <xf numFmtId="3" fontId="14" fillId="0" borderId="36" xfId="21" applyNumberFormat="1" applyFont="1" applyFill="1" applyBorder="1" applyAlignment="1">
      <alignment wrapText="1"/>
      <protection/>
    </xf>
    <xf numFmtId="3" fontId="14" fillId="0" borderId="37" xfId="21" applyNumberFormat="1" applyFont="1" applyFill="1" applyBorder="1" applyAlignment="1">
      <alignment wrapText="1"/>
      <protection/>
    </xf>
    <xf numFmtId="169" fontId="13" fillId="0" borderId="36" xfId="22" applyNumberFormat="1" applyFont="1" applyFill="1" applyBorder="1" applyAlignment="1">
      <alignment wrapText="1"/>
    </xf>
    <xf numFmtId="3" fontId="13" fillId="0" borderId="39" xfId="21" applyNumberFormat="1" applyFont="1" applyFill="1" applyBorder="1" applyAlignment="1">
      <alignment wrapText="1"/>
      <protection/>
    </xf>
    <xf numFmtId="169" fontId="13" fillId="0" borderId="40" xfId="22" applyNumberFormat="1" applyFont="1" applyFill="1" applyBorder="1" applyAlignment="1">
      <alignment wrapText="1"/>
    </xf>
    <xf numFmtId="3" fontId="13" fillId="0" borderId="40" xfId="21" applyNumberFormat="1" applyFont="1" applyFill="1" applyBorder="1" applyAlignment="1">
      <alignment wrapText="1"/>
      <protection/>
    </xf>
    <xf numFmtId="3" fontId="13" fillId="0" borderId="41" xfId="21" applyNumberFormat="1" applyFont="1" applyFill="1" applyBorder="1" applyAlignment="1">
      <alignment wrapText="1"/>
      <protection/>
    </xf>
    <xf numFmtId="0" fontId="0" fillId="0" borderId="23" xfId="0" applyBorder="1" applyAlignment="1">
      <alignment/>
    </xf>
    <xf numFmtId="3" fontId="0" fillId="0" borderId="24" xfId="0" applyNumberFormat="1" applyBorder="1" applyAlignment="1">
      <alignment/>
    </xf>
    <xf numFmtId="3" fontId="0" fillId="0" borderId="42" xfId="0" applyNumberFormat="1" applyBorder="1" applyAlignment="1">
      <alignment/>
    </xf>
    <xf numFmtId="0" fontId="14" fillId="4" borderId="43" xfId="20" applyFont="1" applyFill="1" applyBorder="1" applyAlignment="1">
      <alignment horizontal="center"/>
      <protection/>
    </xf>
    <xf numFmtId="0" fontId="14" fillId="0" borderId="32" xfId="20" applyFont="1" applyFill="1" applyBorder="1" applyAlignment="1">
      <alignment horizontal="right" wrapText="1"/>
      <protection/>
    </xf>
    <xf numFmtId="3" fontId="14" fillId="0" borderId="32" xfId="20" applyNumberFormat="1" applyFont="1" applyFill="1" applyBorder="1" applyAlignment="1">
      <alignment horizontal="right" wrapText="1"/>
      <protection/>
    </xf>
    <xf numFmtId="4" fontId="14" fillId="0" borderId="32" xfId="21" applyNumberFormat="1" applyFont="1" applyFill="1" applyBorder="1" applyAlignment="1">
      <alignment horizontal="right" wrapText="1"/>
      <protection/>
    </xf>
    <xf numFmtId="4" fontId="14" fillId="0" borderId="33" xfId="21" applyNumberFormat="1" applyFont="1" applyFill="1" applyBorder="1" applyAlignment="1">
      <alignment horizontal="right" wrapText="1"/>
      <protection/>
    </xf>
    <xf numFmtId="4" fontId="13" fillId="0" borderId="38" xfId="21" applyNumberFormat="1" applyFont="1" applyFill="1" applyBorder="1" applyAlignment="1">
      <alignment horizontal="right" wrapText="1"/>
      <protection/>
    </xf>
    <xf numFmtId="4" fontId="13" fillId="0" borderId="37" xfId="21" applyNumberFormat="1" applyFont="1" applyFill="1" applyBorder="1" applyAlignment="1">
      <alignment horizontal="right" wrapText="1"/>
      <protection/>
    </xf>
    <xf numFmtId="4" fontId="14" fillId="0" borderId="36" xfId="21" applyNumberFormat="1" applyFont="1" applyFill="1" applyBorder="1" applyAlignment="1">
      <alignment wrapText="1"/>
      <protection/>
    </xf>
    <xf numFmtId="4" fontId="14" fillId="0" borderId="37" xfId="21" applyNumberFormat="1" applyFont="1" applyFill="1" applyBorder="1" applyAlignment="1">
      <alignment wrapText="1"/>
      <protection/>
    </xf>
    <xf numFmtId="1" fontId="0" fillId="0" borderId="22" xfId="0" applyNumberFormat="1" applyFill="1" applyBorder="1" applyAlignment="1">
      <alignment/>
    </xf>
    <xf numFmtId="0" fontId="13" fillId="0" borderId="44" xfId="21" applyFont="1" applyFill="1" applyBorder="1" applyAlignment="1">
      <alignment horizontal="left" wrapText="1"/>
      <protection/>
    </xf>
    <xf numFmtId="0" fontId="13" fillId="0" borderId="38" xfId="21" applyFont="1" applyFill="1" applyBorder="1" applyAlignment="1">
      <alignment horizontal="left" wrapText="1"/>
      <protection/>
    </xf>
    <xf numFmtId="0" fontId="13" fillId="0" borderId="45" xfId="21" applyFont="1" applyFill="1" applyBorder="1" applyAlignment="1">
      <alignment horizontal="left" wrapText="1"/>
      <protection/>
    </xf>
    <xf numFmtId="0" fontId="1" fillId="0" borderId="18" xfId="0" applyFont="1" applyBorder="1" applyAlignment="1">
      <alignment horizontal="center"/>
    </xf>
    <xf numFmtId="0" fontId="1" fillId="0" borderId="16"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0" fillId="0" borderId="27" xfId="0" applyBorder="1" applyAlignment="1">
      <alignment horizontal="left"/>
    </xf>
    <xf numFmtId="0" fontId="0" fillId="0" borderId="13" xfId="0" applyBorder="1" applyAlignment="1">
      <alignment horizontal="left"/>
    </xf>
    <xf numFmtId="0" fontId="1" fillId="0" borderId="17" xfId="0" applyFont="1" applyBorder="1" applyAlignment="1">
      <alignment horizontal="center"/>
    </xf>
    <xf numFmtId="0" fontId="1" fillId="0" borderId="48" xfId="0" applyFont="1" applyBorder="1" applyAlignment="1">
      <alignment horizontal="center"/>
    </xf>
    <xf numFmtId="0" fontId="9" fillId="0" borderId="0" xfId="0" applyFont="1" applyAlignment="1">
      <alignment horizontal="left" vertical="top" wrapText="1"/>
    </xf>
    <xf numFmtId="49" fontId="3" fillId="3" borderId="4" xfId="0" applyNumberFormat="1" applyFont="1" applyFill="1" applyBorder="1" applyAlignment="1">
      <alignment horizontal="center"/>
    </xf>
    <xf numFmtId="49" fontId="3" fillId="3" borderId="5" xfId="0" applyNumberFormat="1" applyFont="1" applyFill="1" applyBorder="1" applyAlignment="1">
      <alignment horizontal="center"/>
    </xf>
    <xf numFmtId="49" fontId="3" fillId="3" borderId="6"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Hyperlink" xfId="19"/>
    <cellStyle name="Normal_Petition Support Calculation"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5</xdr:col>
      <xdr:colOff>790575</xdr:colOff>
      <xdr:row>0</xdr:row>
      <xdr:rowOff>0</xdr:rowOff>
    </xdr:to>
    <xdr:sp>
      <xdr:nvSpPr>
        <xdr:cNvPr id="1" name="Text 1"/>
        <xdr:cNvSpPr txBox="1">
          <a:spLocks noChangeArrowheads="1"/>
        </xdr:cNvSpPr>
      </xdr:nvSpPr>
      <xdr:spPr>
        <a:xfrm>
          <a:off x="628650" y="0"/>
          <a:ext cx="881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STATEMENT of the various kinds of work performed in the improvement of
4
</a:t>
          </a:r>
        </a:p>
      </xdr:txBody>
    </xdr:sp>
    <xdr:clientData/>
  </xdr:twoCellAnchor>
  <xdr:twoCellAnchor>
    <xdr:from>
      <xdr:col>2</xdr:col>
      <xdr:colOff>428625</xdr:colOff>
      <xdr:row>0</xdr:row>
      <xdr:rowOff>0</xdr:rowOff>
    </xdr:from>
    <xdr:to>
      <xdr:col>5</xdr:col>
      <xdr:colOff>371475</xdr:colOff>
      <xdr:row>0</xdr:row>
      <xdr:rowOff>0</xdr:rowOff>
    </xdr:to>
    <xdr:sp>
      <xdr:nvSpPr>
        <xdr:cNvPr id="2" name="Text 3"/>
        <xdr:cNvSpPr txBox="1">
          <a:spLocks noChangeArrowheads="1"/>
        </xdr:cNvSpPr>
      </xdr:nvSpPr>
      <xdr:spPr>
        <a:xfrm>
          <a:off x="1000125" y="0"/>
          <a:ext cx="8020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APPROVED:
    ______________________________       ___________________
                         CONTRACTOR                                       Date
    ______________________________      ___________________
                    PUBLIC WORKS REP.                               Date</a:t>
          </a:r>
        </a:p>
      </xdr:txBody>
    </xdr:sp>
    <xdr:clientData/>
  </xdr:twoCellAnchor>
  <xdr:twoCellAnchor>
    <xdr:from>
      <xdr:col>0</xdr:col>
      <xdr:colOff>152400</xdr:colOff>
      <xdr:row>0</xdr:row>
      <xdr:rowOff>0</xdr:rowOff>
    </xdr:from>
    <xdr:to>
      <xdr:col>5</xdr:col>
      <xdr:colOff>895350</xdr:colOff>
      <xdr:row>0</xdr:row>
      <xdr:rowOff>0</xdr:rowOff>
    </xdr:to>
    <xdr:sp>
      <xdr:nvSpPr>
        <xdr:cNvPr id="3" name="Text 4"/>
        <xdr:cNvSpPr txBox="1">
          <a:spLocks noChangeArrowheads="1"/>
        </xdr:cNvSpPr>
      </xdr:nvSpPr>
      <xdr:spPr>
        <a:xfrm>
          <a:off x="152400" y="0"/>
          <a:ext cx="939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I, VICTOR F. RHODES, P.E., City Engineer of said City, hereby certify that the above statement and map, show in detail the correct amounts of all work required to complete the improvement under the above named Ordinance.
Dated:      </a:t>
          </a:r>
          <a:r>
            <a:rPr lang="en-US" cap="none" sz="1000" b="0" i="0" u="sng"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Approved:  ___________________________     Approved:  ____________________________
                           Principal Engineer                                                 City Engineer</a:t>
          </a:r>
        </a:p>
      </xdr:txBody>
    </xdr:sp>
    <xdr:clientData/>
  </xdr:twoCellAnchor>
  <xdr:twoCellAnchor>
    <xdr:from>
      <xdr:col>2</xdr:col>
      <xdr:colOff>809625</xdr:colOff>
      <xdr:row>3</xdr:row>
      <xdr:rowOff>0</xdr:rowOff>
    </xdr:from>
    <xdr:to>
      <xdr:col>5</xdr:col>
      <xdr:colOff>419100</xdr:colOff>
      <xdr:row>8</xdr:row>
      <xdr:rowOff>38100</xdr:rowOff>
    </xdr:to>
    <xdr:sp>
      <xdr:nvSpPr>
        <xdr:cNvPr id="4" name="Rectangle 4"/>
        <xdr:cNvSpPr>
          <a:spLocks/>
        </xdr:cNvSpPr>
      </xdr:nvSpPr>
      <xdr:spPr>
        <a:xfrm>
          <a:off x="1381125" y="542925"/>
          <a:ext cx="7686675"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LOCAL IMPROVEMENT DISTRICT ADMINISTRATOR'S PRELIMINARY ESTIMATE
</a:t>
          </a:r>
          <a:r>
            <a:rPr lang="en-US" cap="none" sz="1200" b="0" i="0" u="none" baseline="0">
              <a:latin typeface="Arial"/>
              <a:ea typeface="Arial"/>
              <a:cs typeface="Arial"/>
            </a:rPr>
            <a:t>of the various kinds of work performed in the street and stormwater improvement of:
</a:t>
          </a:r>
          <a:r>
            <a:rPr lang="en-US" cap="none" sz="1200" b="1" i="0" u="none" baseline="0">
              <a:latin typeface="Arial"/>
              <a:ea typeface="Arial"/>
              <a:cs typeface="Arial"/>
            </a:rPr>
            <a:t>SE Ellis Street Local Improvement District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142875</xdr:rowOff>
    </xdr:from>
    <xdr:to>
      <xdr:col>5</xdr:col>
      <xdr:colOff>981075</xdr:colOff>
      <xdr:row>9</xdr:row>
      <xdr:rowOff>19050</xdr:rowOff>
    </xdr:to>
    <xdr:sp>
      <xdr:nvSpPr>
        <xdr:cNvPr id="1" name="Text 1"/>
        <xdr:cNvSpPr txBox="1">
          <a:spLocks noChangeArrowheads="1"/>
        </xdr:cNvSpPr>
      </xdr:nvSpPr>
      <xdr:spPr>
        <a:xfrm>
          <a:off x="0" y="1047750"/>
          <a:ext cx="63436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Preliminary Engineer's Estimate for the improvement of the following streets within the Lents Town Center Street Imporvements Program:  SE Reedway from 103nd to 104th and SE Ellis St. from 104th Ave. to 200' East. </a:t>
          </a:r>
          <a:r>
            <a:rPr lang="en-US" cap="none" sz="1000" b="0" i="0" u="none" baseline="0">
              <a:solidFill>
                <a:srgbClr val="0000FF"/>
              </a:solidFill>
              <a:latin typeface="Arial"/>
              <a:ea typeface="Arial"/>
              <a:cs typeface="Arial"/>
            </a:rPr>
            <a:t> Planter strip infiltration trench drainage scenario for Reedway.</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_I_Development\2002\NE-SE%20102nd%20Ave%20Weidler%20to%20Wash'g\Estimate%20&amp;%20Propos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20Documents\Projects\Active%20Pre-LID\NE%20148th%20Avenue%20from%20Airport%20Way%20to%20Marine%20Drive\NE%20148th%20Avenue%20rev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_II_Design\37310%20-%20Lents%20III%20-%20104th%20&amp;%20Ramona\Estimates\Estimate%20-%20Lents%20II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20Documents\Projects\Active%20Pre-LID\NE%20148th%20Avenue%20from%20Airport%20Way%20to%20Marine%20Drive\NE%20148th%20Avenue%20Petition%20Evaluation%20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terial Pre-Design Estimate"/>
      <sheetName val="Local Pre-Design Estimate"/>
      <sheetName val="PROPOSAL"/>
      <sheetName val="Bid Proposal #1"/>
      <sheetName val="Calc Sheet"/>
      <sheetName val="Work Z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F Validation"/>
      <sheetName val="Assessment Worksheet"/>
      <sheetName val="Assessment Worksheet - All LF"/>
      <sheetName val="Taxlots_20040204"/>
      <sheetName val="LID Preliminary Estimate -  All"/>
      <sheetName val="LID Preliminary Estimate - S"/>
      <sheetName val="LID Preliminary Estimate - N"/>
      <sheetName val="Nth Trapold to Marine"/>
      <sheetName val="Trapold Property"/>
      <sheetName val="Sheet2"/>
      <sheetName val="Sheet3"/>
    </sheetNames>
    <sheetDataSet>
      <sheetData sheetId="3">
        <row r="2">
          <cell r="AD2">
            <v>9151420</v>
          </cell>
          <cell r="AH2">
            <v>9151420</v>
          </cell>
          <cell r="AL2">
            <v>9151420</v>
          </cell>
          <cell r="AN2">
            <v>610881</v>
          </cell>
        </row>
        <row r="3">
          <cell r="AD3">
            <v>950000</v>
          </cell>
          <cell r="AH3">
            <v>950000</v>
          </cell>
          <cell r="AL3">
            <v>950000</v>
          </cell>
          <cell r="AN3" t="str">
            <v/>
          </cell>
        </row>
        <row r="4">
          <cell r="AD4">
            <v>428180</v>
          </cell>
          <cell r="AH4">
            <v>441030</v>
          </cell>
          <cell r="AL4">
            <v>441030</v>
          </cell>
          <cell r="AN4" t="str">
            <v/>
          </cell>
        </row>
      </sheetData>
      <sheetData sheetId="5">
        <row r="49">
          <cell r="D49">
            <v>0</v>
          </cell>
        </row>
      </sheetData>
      <sheetData sheetId="6">
        <row r="49">
          <cell r="D4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nts III A - English"/>
      <sheetName val="Lents III B - English"/>
      <sheetName val="Lents III A &amp; B (26')"/>
      <sheetName val="Lents III A &amp; B (20')"/>
      <sheetName val="Lents III A&amp;B (26' &amp; Pavers)"/>
      <sheetName val="Lents III A&amp;B (26' &amp; trenches)"/>
      <sheetName val="Lents III Reedway&amp;Ellis"/>
      <sheetName val="Lents III-east 170' of Ellis"/>
    </sheetNames>
    <sheetDataSet>
      <sheetData sheetId="5">
        <row r="16">
          <cell r="D16">
            <v>53</v>
          </cell>
        </row>
        <row r="17">
          <cell r="D17">
            <v>14</v>
          </cell>
        </row>
        <row r="18">
          <cell r="D18">
            <v>201</v>
          </cell>
        </row>
        <row r="19">
          <cell r="D19">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etition Support Calculation"/>
      <sheetName val="Assessment Worksheet"/>
      <sheetName val="Taxlots_20040430"/>
      <sheetName val="LID Preliminary Estimate -  All"/>
      <sheetName val="LID Preliminary Estimate - S"/>
      <sheetName val="LID Preliminary Estimate - N"/>
      <sheetName val="Nth Trapold to Marine"/>
      <sheetName val="Trapold Property"/>
    </sheetNames>
    <sheetDataSet>
      <sheetData sheetId="1">
        <row r="8">
          <cell r="J8">
            <v>237</v>
          </cell>
        </row>
        <row r="23">
          <cell r="A23">
            <v>12</v>
          </cell>
        </row>
        <row r="24">
          <cell r="J24">
            <v>2122140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workbookViewId="0" topLeftCell="A1">
      <selection activeCell="A1" sqref="A1"/>
    </sheetView>
  </sheetViews>
  <sheetFormatPr defaultColWidth="9.140625" defaultRowHeight="12.75" outlineLevelRow="1"/>
  <cols>
    <col min="1" max="1" width="16.28125" style="0" bestFit="1" customWidth="1"/>
    <col min="2" max="2" width="16.28125" style="0" customWidth="1"/>
    <col min="3" max="3" width="70.28125" style="0" bestFit="1" customWidth="1"/>
    <col min="4" max="4" width="9.7109375" style="108" bestFit="1" customWidth="1"/>
    <col min="5" max="5" width="13.8515625" style="108" bestFit="1" customWidth="1"/>
  </cols>
  <sheetData>
    <row r="1" spans="1:5" ht="13.5" thickBot="1">
      <c r="A1" s="154"/>
      <c r="B1" s="155"/>
      <c r="C1" s="155"/>
      <c r="D1" s="156"/>
      <c r="E1" s="157"/>
    </row>
    <row r="2" spans="1:5" ht="12.75" customHeight="1">
      <c r="A2" s="158" t="s">
        <v>179</v>
      </c>
      <c r="B2" s="159" t="s">
        <v>181</v>
      </c>
      <c r="C2" s="159" t="s">
        <v>287</v>
      </c>
      <c r="D2" s="160" t="s">
        <v>288</v>
      </c>
      <c r="E2" s="161" t="s">
        <v>289</v>
      </c>
    </row>
    <row r="3" spans="1:5" ht="12.75" customHeight="1">
      <c r="A3" s="210" t="s">
        <v>290</v>
      </c>
      <c r="B3" s="211"/>
      <c r="C3" s="211"/>
      <c r="D3" s="211"/>
      <c r="E3" s="212"/>
    </row>
    <row r="4" spans="1:5" ht="12.75" customHeight="1">
      <c r="A4" s="164" t="str">
        <f>Taxlots_20040506!B2</f>
        <v>1S2E15CB  1600</v>
      </c>
      <c r="B4" s="165" t="str">
        <f>Taxlots_20040506!D2</f>
        <v>R561204520</v>
      </c>
      <c r="C4" s="165" t="str">
        <f>CONCATENATE(Taxlots_20040506!E2," ",Taxlots_20040506!F2," ",Taxlots_20040506!G2)</f>
        <v>HOST DEVELOPMENT INC  </v>
      </c>
      <c r="D4" s="203">
        <v>50</v>
      </c>
      <c r="E4" s="204">
        <f aca="true" t="shared" si="0" ref="E4:E9">D4</f>
        <v>50</v>
      </c>
    </row>
    <row r="5" spans="1:5" ht="12.75" customHeight="1">
      <c r="A5" s="164" t="str">
        <f>Taxlots_20040506!B3</f>
        <v>1S2E15CB  1700</v>
      </c>
      <c r="B5" s="165" t="str">
        <f>Taxlots_20040506!D3</f>
        <v>R561204570</v>
      </c>
      <c r="C5" s="165" t="str">
        <f>CONCATENATE(Taxlots_20040506!E3," ",Taxlots_20040506!F3," ",Taxlots_20040506!G3)</f>
        <v>DOMME,JOHN P  </v>
      </c>
      <c r="D5" s="203">
        <v>50</v>
      </c>
      <c r="E5" s="204">
        <f t="shared" si="0"/>
        <v>50</v>
      </c>
    </row>
    <row r="6" spans="1:5" ht="12.75" customHeight="1">
      <c r="A6" s="164" t="str">
        <f>Taxlots_20040506!B4</f>
        <v>1S2E15CB  2400</v>
      </c>
      <c r="B6" s="165" t="str">
        <f>Taxlots_20040506!D4</f>
        <v>R561205150</v>
      </c>
      <c r="C6" s="165" t="str">
        <f>CONCATENATE(Taxlots_20040506!E4," ",Taxlots_20040506!F4," ",Taxlots_20040506!G4)</f>
        <v>DOMME,JOHN P  </v>
      </c>
      <c r="D6" s="203">
        <v>61.93</v>
      </c>
      <c r="E6" s="204">
        <f t="shared" si="0"/>
        <v>61.93</v>
      </c>
    </row>
    <row r="7" spans="1:5" ht="12.75" customHeight="1">
      <c r="A7" s="164" t="str">
        <f>Taxlots_20040506!B5</f>
        <v>1S2E15CB  2500</v>
      </c>
      <c r="B7" s="165" t="str">
        <f>Taxlots_20040506!D5</f>
        <v>R561205910</v>
      </c>
      <c r="C7" s="165" t="str">
        <f>CONCATENATE(Taxlots_20040506!E5," ",Taxlots_20040506!F5," ",Taxlots_20040506!G5)</f>
        <v>DOMME,JOHN P  </v>
      </c>
      <c r="D7" s="203">
        <v>83.07</v>
      </c>
      <c r="E7" s="204">
        <f t="shared" si="0"/>
        <v>83.07</v>
      </c>
    </row>
    <row r="8" spans="1:5" ht="12.75" customHeight="1">
      <c r="A8" s="164" t="str">
        <f>Taxlots_20040506!B6</f>
        <v>1S2E15CB  400</v>
      </c>
      <c r="B8" s="165" t="str">
        <f>Taxlots_20040506!D6</f>
        <v>R561205250</v>
      </c>
      <c r="C8" s="165" t="str">
        <f>CONCATENATE(Taxlots_20040506!E6," ",Taxlots_20040506!F6," ",Taxlots_20040506!G6)</f>
        <v>DOMME,JOHN P  </v>
      </c>
      <c r="D8" s="203">
        <v>84.41</v>
      </c>
      <c r="E8" s="204">
        <f t="shared" si="0"/>
        <v>84.41</v>
      </c>
    </row>
    <row r="9" spans="1:5" ht="12.75" customHeight="1">
      <c r="A9" s="164" t="str">
        <f>Taxlots_20040506!B7</f>
        <v>1S2E15CB  500</v>
      </c>
      <c r="B9" s="165" t="str">
        <f>Taxlots_20040506!D7</f>
        <v>R561205180</v>
      </c>
      <c r="C9" s="165" t="str">
        <f>CONCATENATE(Taxlots_20040506!E7," ",Taxlots_20040506!F7," ",Taxlots_20040506!G7)</f>
        <v>DOMME,JOHN P  </v>
      </c>
      <c r="D9" s="203">
        <v>60.59</v>
      </c>
      <c r="E9" s="204">
        <f t="shared" si="0"/>
        <v>60.59</v>
      </c>
    </row>
    <row r="10" spans="1:5" ht="12.75" customHeight="1">
      <c r="A10" s="166"/>
      <c r="B10" s="167"/>
      <c r="C10" s="168"/>
      <c r="D10" s="162"/>
      <c r="E10" s="163"/>
    </row>
    <row r="11" spans="1:5" ht="12.75" customHeight="1">
      <c r="A11" s="210" t="s">
        <v>291</v>
      </c>
      <c r="B11" s="211"/>
      <c r="C11" s="211"/>
      <c r="D11" s="211"/>
      <c r="E11" s="212"/>
    </row>
    <row r="12" spans="1:5" ht="12.75" customHeight="1">
      <c r="A12" s="169" t="s">
        <v>292</v>
      </c>
      <c r="B12" s="170"/>
      <c r="C12" s="170"/>
      <c r="D12" s="162"/>
      <c r="E12" s="163"/>
    </row>
    <row r="13" spans="1:5" ht="12.75" customHeight="1">
      <c r="A13" s="166"/>
      <c r="B13" s="168"/>
      <c r="C13" s="168"/>
      <c r="D13" s="162"/>
      <c r="E13" s="163"/>
    </row>
    <row r="14" spans="1:5" ht="12.75" customHeight="1">
      <c r="A14" s="210" t="s">
        <v>293</v>
      </c>
      <c r="B14" s="211"/>
      <c r="C14" s="211"/>
      <c r="D14" s="211"/>
      <c r="E14" s="212"/>
    </row>
    <row r="15" spans="1:5" ht="12.75" customHeight="1">
      <c r="A15" s="171" t="s">
        <v>292</v>
      </c>
      <c r="B15" s="167"/>
      <c r="C15" s="168"/>
      <c r="D15" s="162"/>
      <c r="E15" s="163"/>
    </row>
    <row r="16" spans="1:5" ht="12.75" customHeight="1">
      <c r="A16" s="166"/>
      <c r="B16" s="167"/>
      <c r="C16" s="168"/>
      <c r="D16" s="162"/>
      <c r="E16" s="163"/>
    </row>
    <row r="17" spans="1:5" ht="12.75" customHeight="1">
      <c r="A17" s="210" t="s">
        <v>294</v>
      </c>
      <c r="B17" s="211"/>
      <c r="C17" s="211"/>
      <c r="D17" s="211"/>
      <c r="E17" s="212"/>
    </row>
    <row r="18" spans="1:5" ht="12.75" customHeight="1">
      <c r="A18" s="171" t="s">
        <v>292</v>
      </c>
      <c r="B18" s="165"/>
      <c r="C18" s="165"/>
      <c r="D18" s="162"/>
      <c r="E18" s="163"/>
    </row>
    <row r="19" spans="1:5" ht="12.75" customHeight="1">
      <c r="A19" s="172"/>
      <c r="B19" s="173"/>
      <c r="C19" s="174"/>
      <c r="D19" s="175"/>
      <c r="E19" s="176"/>
    </row>
    <row r="20" spans="1:5" ht="12.75" customHeight="1">
      <c r="A20" s="210" t="s">
        <v>295</v>
      </c>
      <c r="B20" s="211"/>
      <c r="C20" s="211"/>
      <c r="D20" s="211"/>
      <c r="E20" s="212"/>
    </row>
    <row r="21" spans="1:5" ht="12.75" customHeight="1">
      <c r="A21" s="171" t="s">
        <v>292</v>
      </c>
      <c r="B21" s="165"/>
      <c r="C21" s="165"/>
      <c r="D21" s="162"/>
      <c r="E21" s="163"/>
    </row>
    <row r="22" spans="1:5" ht="12.75" customHeight="1">
      <c r="A22" s="177"/>
      <c r="B22" s="178"/>
      <c r="C22" s="178"/>
      <c r="D22" s="179"/>
      <c r="E22" s="180"/>
    </row>
    <row r="23" spans="1:5" ht="12.75" customHeight="1">
      <c r="A23" s="181" t="s">
        <v>296</v>
      </c>
      <c r="B23" s="182"/>
      <c r="C23" s="182">
        <f>COUNT(D4:D9)</f>
        <v>6</v>
      </c>
      <c r="D23" s="205">
        <f>SUM(D4:D9)</f>
        <v>390</v>
      </c>
      <c r="E23" s="206">
        <f>SUM(E4:E9)</f>
        <v>390</v>
      </c>
    </row>
    <row r="24" spans="1:5" ht="12.75">
      <c r="A24" s="183"/>
      <c r="B24" s="184"/>
      <c r="C24" s="184"/>
      <c r="D24" s="184"/>
      <c r="E24" s="185"/>
    </row>
    <row r="25" spans="1:5" ht="12.75" customHeight="1">
      <c r="A25" s="181"/>
      <c r="B25" s="186"/>
      <c r="C25" s="186"/>
      <c r="D25" s="186"/>
      <c r="E25" s="187"/>
    </row>
    <row r="26" spans="1:5" ht="12.75">
      <c r="A26" s="188">
        <f>COUNT(D4:D9)</f>
        <v>6</v>
      </c>
      <c r="B26" s="189">
        <f>SUM(D4:D9)/D23</f>
        <v>1</v>
      </c>
      <c r="C26" s="190" t="s">
        <v>290</v>
      </c>
      <c r="D26" s="207">
        <f>SUM(D4:D9)</f>
        <v>390</v>
      </c>
      <c r="E26" s="208">
        <f>SUM(E4:E9)</f>
        <v>390</v>
      </c>
    </row>
    <row r="27" spans="1:5" ht="12.75">
      <c r="A27" s="188">
        <f>COUNT(#REF!)</f>
        <v>0</v>
      </c>
      <c r="B27" s="189">
        <v>0</v>
      </c>
      <c r="C27" s="190" t="s">
        <v>293</v>
      </c>
      <c r="D27" s="190">
        <v>0</v>
      </c>
      <c r="E27" s="191">
        <v>0</v>
      </c>
    </row>
    <row r="28" spans="1:5" ht="12.75">
      <c r="A28" s="188">
        <f>COUNT(D18:D18)</f>
        <v>0</v>
      </c>
      <c r="B28" s="189">
        <v>0</v>
      </c>
      <c r="C28" s="190" t="s">
        <v>294</v>
      </c>
      <c r="D28" s="190">
        <f>SUM(D18:D18)</f>
        <v>0</v>
      </c>
      <c r="E28" s="191">
        <f>SUM(E18:E18)</f>
        <v>0</v>
      </c>
    </row>
    <row r="29" spans="1:5" ht="12.75">
      <c r="A29" s="183">
        <f>SUM(A26:A28)</f>
        <v>6</v>
      </c>
      <c r="B29" s="192">
        <f>SUM(B26:B28)</f>
        <v>1</v>
      </c>
      <c r="C29" s="184" t="s">
        <v>297</v>
      </c>
      <c r="D29" s="184">
        <f>SUM(D26:D28)</f>
        <v>390</v>
      </c>
      <c r="E29" s="185">
        <f>SUM(E26:E28)</f>
        <v>390</v>
      </c>
    </row>
    <row r="30" spans="1:5" ht="12.75">
      <c r="A30" s="188">
        <f>COUNT(#REF!)</f>
        <v>0</v>
      </c>
      <c r="B30" s="189">
        <v>0</v>
      </c>
      <c r="C30" s="190" t="s">
        <v>291</v>
      </c>
      <c r="D30" s="190">
        <f>SUM(D12:D12)</f>
        <v>0</v>
      </c>
      <c r="E30" s="191">
        <f>SUM(E12:E12)</f>
        <v>0</v>
      </c>
    </row>
    <row r="31" spans="1:5" ht="12.75">
      <c r="A31" s="188">
        <f>COUNT(D21:D21)</f>
        <v>0</v>
      </c>
      <c r="B31" s="189">
        <v>0</v>
      </c>
      <c r="C31" s="190" t="s">
        <v>295</v>
      </c>
      <c r="D31" s="190">
        <f>SUM(D21)</f>
        <v>0</v>
      </c>
      <c r="E31" s="191">
        <f>SUM(E21)</f>
        <v>0</v>
      </c>
    </row>
    <row r="32" spans="1:5" ht="13.5" thickBot="1">
      <c r="A32" s="193">
        <f>SUM(A29:A31)</f>
        <v>6</v>
      </c>
      <c r="B32" s="194">
        <f>SUM(B29:B31)</f>
        <v>1</v>
      </c>
      <c r="C32" s="195" t="s">
        <v>130</v>
      </c>
      <c r="D32" s="195">
        <f>SUM(D29:D31)</f>
        <v>390</v>
      </c>
      <c r="E32" s="196">
        <f>SUM(E29:E31)</f>
        <v>390</v>
      </c>
    </row>
    <row r="33" spans="1:5" ht="13.5" thickBot="1">
      <c r="A33" s="197"/>
      <c r="B33" s="115"/>
      <c r="C33" s="115"/>
      <c r="D33" s="198"/>
      <c r="E33" s="199"/>
    </row>
    <row r="34" spans="1:6" ht="12.75" hidden="1" outlineLevel="1">
      <c r="A34" s="200" t="s">
        <v>298</v>
      </c>
      <c r="B34" s="200" t="s">
        <v>289</v>
      </c>
      <c r="C34" s="200" t="s">
        <v>299</v>
      </c>
      <c r="D34" s="68"/>
      <c r="E34" s="68"/>
      <c r="F34" s="68"/>
    </row>
    <row r="35" spans="1:3" ht="12.75" hidden="1" outlineLevel="1">
      <c r="A35" s="201">
        <f>'[4]Assessment Worksheet'!A23</f>
        <v>12</v>
      </c>
      <c r="B35" s="202">
        <f>'[4]Assessment Worksheet'!J8</f>
        <v>237</v>
      </c>
      <c r="C35" s="202">
        <f>'[4]Assessment Worksheet'!J24</f>
        <v>2122140</v>
      </c>
    </row>
    <row r="36" spans="2:3" ht="12.75" hidden="1" outlineLevel="1">
      <c r="B36" s="68" t="e">
        <f>IF(B35=#REF!,"O.K.","Error")</f>
        <v>#REF!</v>
      </c>
      <c r="C36" s="68" t="str">
        <f>IF(C35=E23,"O.K.","Error")</f>
        <v>Error</v>
      </c>
    </row>
    <row r="37" ht="12.75" collapsed="1"/>
  </sheetData>
  <mergeCells count="5">
    <mergeCell ref="A20:E20"/>
    <mergeCell ref="A3:E3"/>
    <mergeCell ref="A11:E11"/>
    <mergeCell ref="A14:E14"/>
    <mergeCell ref="A17:E17"/>
  </mergeCells>
  <printOptions horizontalCentered="1"/>
  <pageMargins left="0.25" right="0.25" top="1.25" bottom="1" header="0.5" footer="0.5"/>
  <pageSetup fitToHeight="1" fitToWidth="1" horizontalDpi="600" verticalDpi="600" orientation="landscape" r:id="rId1"/>
  <headerFooter alignWithMargins="0">
    <oddHeader>&amp;C&amp;"Arial,Bold"&amp;11SE ELLIS STREET LOCAL IMPROVEMENT DISTRICT
Petition Evaluation</oddHeader>
    <oddFooter>&amp;L&amp;"Arial,Italic"&amp;9&amp;F</oddFooter>
  </headerFooter>
</worksheet>
</file>

<file path=xl/worksheets/sheet2.xml><?xml version="1.0" encoding="utf-8"?>
<worksheet xmlns="http://schemas.openxmlformats.org/spreadsheetml/2006/main" xmlns:r="http://schemas.openxmlformats.org/officeDocument/2006/relationships">
  <dimension ref="A1:AT7"/>
  <sheetViews>
    <sheetView workbookViewId="0" topLeftCell="A1">
      <selection activeCell="A1" sqref="A1"/>
    </sheetView>
  </sheetViews>
  <sheetFormatPr defaultColWidth="9.140625" defaultRowHeight="12.75"/>
  <cols>
    <col min="1" max="1" width="11.57421875" style="131" bestFit="1" customWidth="1"/>
    <col min="2" max="2" width="15.28125" style="132" bestFit="1" customWidth="1"/>
    <col min="3" max="3" width="13.28125" style="132" bestFit="1" customWidth="1"/>
    <col min="4" max="4" width="11.28125" style="132" bestFit="1" customWidth="1"/>
    <col min="5" max="5" width="24.140625" style="132" bestFit="1" customWidth="1"/>
    <col min="6" max="7" width="9.00390625" style="132" bestFit="1" customWidth="1"/>
    <col min="8" max="8" width="20.7109375" style="132" bestFit="1" customWidth="1"/>
    <col min="9" max="9" width="12.140625" style="132" bestFit="1" customWidth="1"/>
    <col min="10" max="10" width="14.00390625" style="132" bestFit="1" customWidth="1"/>
    <col min="11" max="11" width="10.8515625" style="132" bestFit="1" customWidth="1"/>
    <col min="12" max="12" width="20.57421875" style="132" bestFit="1" customWidth="1"/>
    <col min="13" max="13" width="10.8515625" style="132" bestFit="1" customWidth="1"/>
    <col min="14" max="14" width="12.140625" style="132" bestFit="1" customWidth="1"/>
    <col min="15" max="15" width="8.00390625" style="132" bestFit="1" customWidth="1"/>
    <col min="16" max="16" width="28.8515625" style="132" bestFit="1" customWidth="1"/>
    <col min="17" max="17" width="9.8515625" style="132" bestFit="1" customWidth="1"/>
    <col min="18" max="18" width="12.421875" style="132" bestFit="1" customWidth="1"/>
    <col min="19" max="19" width="18.00390625" style="132" bestFit="1" customWidth="1"/>
    <col min="20" max="20" width="9.7109375" style="132" bestFit="1" customWidth="1"/>
    <col min="21" max="21" width="11.28125" style="132" bestFit="1" customWidth="1"/>
    <col min="22" max="22" width="11.140625" style="131" bestFit="1" customWidth="1"/>
    <col min="23" max="23" width="11.7109375" style="131" bestFit="1" customWidth="1"/>
    <col min="24" max="24" width="8.7109375" style="131" bestFit="1" customWidth="1"/>
    <col min="25" max="25" width="6.57421875" style="131" bestFit="1" customWidth="1"/>
    <col min="26" max="26" width="12.140625" style="132" bestFit="1" customWidth="1"/>
    <col min="27" max="28" width="11.57421875" style="131" bestFit="1" customWidth="1"/>
    <col min="29" max="29" width="12.57421875" style="131" bestFit="1" customWidth="1"/>
    <col min="30" max="30" width="12.140625" style="132" bestFit="1" customWidth="1"/>
    <col min="31" max="32" width="11.57421875" style="131" bestFit="1" customWidth="1"/>
    <col min="33" max="33" width="12.57421875" style="131" bestFit="1" customWidth="1"/>
    <col min="34" max="34" width="12.140625" style="132" bestFit="1" customWidth="1"/>
    <col min="35" max="35" width="10.7109375" style="131" bestFit="1" customWidth="1"/>
    <col min="36" max="36" width="10.8515625" style="131" bestFit="1" customWidth="1"/>
    <col min="37" max="37" width="11.8515625" style="131" bestFit="1" customWidth="1"/>
    <col min="38" max="38" width="10.7109375" style="132" bestFit="1" customWidth="1"/>
    <col min="39" max="39" width="11.421875" style="131" bestFit="1" customWidth="1"/>
    <col min="40" max="40" width="13.28125" style="132" bestFit="1" customWidth="1"/>
    <col min="41" max="41" width="11.57421875" style="131" bestFit="1" customWidth="1"/>
    <col min="42" max="42" width="11.7109375" style="131" bestFit="1" customWidth="1"/>
    <col min="43" max="43" width="8.57421875" style="132" bestFit="1" customWidth="1"/>
    <col min="44" max="44" width="10.8515625" style="132" bestFit="1" customWidth="1"/>
    <col min="45" max="45" width="12.8515625" style="132" bestFit="1" customWidth="1"/>
    <col min="46" max="46" width="12.57421875" style="131" bestFit="1" customWidth="1"/>
  </cols>
  <sheetData>
    <row r="1" spans="1:46" ht="12.75">
      <c r="A1" s="133" t="s">
        <v>178</v>
      </c>
      <c r="B1" s="134" t="s">
        <v>179</v>
      </c>
      <c r="C1" s="134" t="s">
        <v>180</v>
      </c>
      <c r="D1" s="134" t="s">
        <v>181</v>
      </c>
      <c r="E1" s="134" t="s">
        <v>182</v>
      </c>
      <c r="F1" s="134" t="s">
        <v>183</v>
      </c>
      <c r="G1" s="134" t="s">
        <v>184</v>
      </c>
      <c r="H1" s="134" t="s">
        <v>185</v>
      </c>
      <c r="I1" s="134" t="s">
        <v>186</v>
      </c>
      <c r="J1" s="134" t="s">
        <v>187</v>
      </c>
      <c r="K1" s="134" t="s">
        <v>188</v>
      </c>
      <c r="L1" s="134" t="s">
        <v>189</v>
      </c>
      <c r="M1" s="134" t="s">
        <v>190</v>
      </c>
      <c r="N1" s="134" t="s">
        <v>191</v>
      </c>
      <c r="O1" s="134" t="s">
        <v>192</v>
      </c>
      <c r="P1" s="134" t="s">
        <v>193</v>
      </c>
      <c r="Q1" s="134" t="s">
        <v>194</v>
      </c>
      <c r="R1" s="134" t="s">
        <v>195</v>
      </c>
      <c r="S1" s="134" t="s">
        <v>196</v>
      </c>
      <c r="T1" s="134" t="s">
        <v>197</v>
      </c>
      <c r="U1" s="134" t="s">
        <v>198</v>
      </c>
      <c r="V1" s="133" t="s">
        <v>199</v>
      </c>
      <c r="W1" s="133" t="s">
        <v>200</v>
      </c>
      <c r="X1" s="133" t="s">
        <v>201</v>
      </c>
      <c r="Y1" s="133" t="s">
        <v>202</v>
      </c>
      <c r="Z1" s="134" t="s">
        <v>203</v>
      </c>
      <c r="AA1" s="133" t="s">
        <v>204</v>
      </c>
      <c r="AB1" s="133" t="s">
        <v>205</v>
      </c>
      <c r="AC1" s="133" t="s">
        <v>206</v>
      </c>
      <c r="AD1" s="134" t="s">
        <v>207</v>
      </c>
      <c r="AE1" s="133" t="s">
        <v>208</v>
      </c>
      <c r="AF1" s="133" t="s">
        <v>209</v>
      </c>
      <c r="AG1" s="133" t="s">
        <v>210</v>
      </c>
      <c r="AH1" s="134" t="s">
        <v>211</v>
      </c>
      <c r="AI1" s="133" t="s">
        <v>212</v>
      </c>
      <c r="AJ1" s="133" t="s">
        <v>213</v>
      </c>
      <c r="AK1" s="133" t="s">
        <v>214</v>
      </c>
      <c r="AL1" s="134" t="s">
        <v>215</v>
      </c>
      <c r="AM1" s="133" t="s">
        <v>216</v>
      </c>
      <c r="AN1" s="134" t="s">
        <v>217</v>
      </c>
      <c r="AO1" s="133" t="s">
        <v>218</v>
      </c>
      <c r="AP1" s="133" t="s">
        <v>219</v>
      </c>
      <c r="AQ1" s="134" t="s">
        <v>220</v>
      </c>
      <c r="AR1" s="134" t="s">
        <v>221</v>
      </c>
      <c r="AS1" s="134" t="s">
        <v>222</v>
      </c>
      <c r="AT1" s="133" t="s">
        <v>223</v>
      </c>
    </row>
    <row r="2" spans="1:46" ht="12.75">
      <c r="A2" s="131">
        <v>4996.37</v>
      </c>
      <c r="B2" s="132" t="s">
        <v>251</v>
      </c>
      <c r="D2" s="132" t="s">
        <v>252</v>
      </c>
      <c r="E2" s="132" t="s">
        <v>253</v>
      </c>
      <c r="H2" s="132" t="s">
        <v>254</v>
      </c>
      <c r="I2" s="132" t="s">
        <v>232</v>
      </c>
      <c r="J2" s="132" t="s">
        <v>229</v>
      </c>
      <c r="K2" s="132" t="s">
        <v>255</v>
      </c>
      <c r="L2" s="132" t="s">
        <v>256</v>
      </c>
      <c r="M2" s="132" t="s">
        <v>232</v>
      </c>
      <c r="N2" s="132" t="s">
        <v>229</v>
      </c>
      <c r="O2" s="132" t="s">
        <v>233</v>
      </c>
      <c r="P2" s="132" t="s">
        <v>257</v>
      </c>
      <c r="Q2" s="132" t="s">
        <v>235</v>
      </c>
      <c r="R2" s="132" t="s">
        <v>242</v>
      </c>
      <c r="S2" s="132" t="s">
        <v>249</v>
      </c>
      <c r="T2" s="132" t="s">
        <v>237</v>
      </c>
      <c r="Z2" s="132" t="s">
        <v>239</v>
      </c>
      <c r="AA2" s="131">
        <v>25440</v>
      </c>
      <c r="AB2" s="131">
        <v>0</v>
      </c>
      <c r="AC2" s="131">
        <v>25440</v>
      </c>
      <c r="AD2" s="132" t="s">
        <v>240</v>
      </c>
      <c r="AE2" s="131">
        <v>25950</v>
      </c>
      <c r="AF2" s="131">
        <v>0</v>
      </c>
      <c r="AG2" s="131">
        <v>25950</v>
      </c>
      <c r="AH2" s="132" t="s">
        <v>241</v>
      </c>
      <c r="AN2" s="132" t="s">
        <v>242</v>
      </c>
      <c r="AO2" s="131">
        <v>5000</v>
      </c>
      <c r="AP2" s="131">
        <v>0.11478</v>
      </c>
      <c r="AQ2" s="132" t="s">
        <v>243</v>
      </c>
      <c r="AR2" s="132" t="s">
        <v>232</v>
      </c>
      <c r="AS2" s="132" t="s">
        <v>258</v>
      </c>
      <c r="AT2" s="131">
        <v>402472</v>
      </c>
    </row>
    <row r="3" spans="1:46" ht="12.75">
      <c r="A3" s="131">
        <v>4996.6</v>
      </c>
      <c r="B3" s="132" t="s">
        <v>273</v>
      </c>
      <c r="D3" s="132" t="s">
        <v>274</v>
      </c>
      <c r="E3" s="132" t="s">
        <v>226</v>
      </c>
      <c r="H3" s="132" t="s">
        <v>227</v>
      </c>
      <c r="I3" s="132" t="s">
        <v>228</v>
      </c>
      <c r="J3" s="132" t="s">
        <v>229</v>
      </c>
      <c r="K3" s="132" t="s">
        <v>230</v>
      </c>
      <c r="L3" s="132" t="s">
        <v>275</v>
      </c>
      <c r="M3" s="132" t="s">
        <v>232</v>
      </c>
      <c r="N3" s="132" t="s">
        <v>229</v>
      </c>
      <c r="O3" s="132" t="s">
        <v>233</v>
      </c>
      <c r="P3" s="132" t="s">
        <v>276</v>
      </c>
      <c r="Q3" s="132" t="s">
        <v>263</v>
      </c>
      <c r="R3" s="132" t="s">
        <v>176</v>
      </c>
      <c r="S3" s="132" t="s">
        <v>236</v>
      </c>
      <c r="T3" s="132" t="s">
        <v>237</v>
      </c>
      <c r="U3" s="132" t="s">
        <v>277</v>
      </c>
      <c r="V3" s="131">
        <v>594</v>
      </c>
      <c r="W3" s="131">
        <v>2</v>
      </c>
      <c r="Z3" s="132" t="s">
        <v>239</v>
      </c>
      <c r="AA3" s="131">
        <v>27190</v>
      </c>
      <c r="AB3" s="131">
        <v>24350</v>
      </c>
      <c r="AC3" s="131">
        <v>51540</v>
      </c>
      <c r="AD3" s="132" t="s">
        <v>240</v>
      </c>
      <c r="AE3" s="131">
        <v>43000</v>
      </c>
      <c r="AF3" s="131">
        <v>25070</v>
      </c>
      <c r="AG3" s="131">
        <v>68070</v>
      </c>
      <c r="AH3" s="132" t="s">
        <v>241</v>
      </c>
      <c r="AN3" s="132" t="s">
        <v>242</v>
      </c>
      <c r="AO3" s="131">
        <v>5000</v>
      </c>
      <c r="AP3" s="131">
        <v>0.11478</v>
      </c>
      <c r="AQ3" s="132" t="s">
        <v>243</v>
      </c>
      <c r="AR3" s="132" t="s">
        <v>232</v>
      </c>
      <c r="AS3" s="132" t="s">
        <v>278</v>
      </c>
      <c r="AT3" s="131">
        <v>403554</v>
      </c>
    </row>
    <row r="4" spans="1:46" ht="12.75">
      <c r="A4" s="131">
        <v>14518.26</v>
      </c>
      <c r="B4" s="132" t="s">
        <v>259</v>
      </c>
      <c r="D4" s="132" t="s">
        <v>260</v>
      </c>
      <c r="E4" s="132" t="s">
        <v>226</v>
      </c>
      <c r="H4" s="132" t="s">
        <v>227</v>
      </c>
      <c r="I4" s="132" t="s">
        <v>228</v>
      </c>
      <c r="J4" s="132" t="s">
        <v>229</v>
      </c>
      <c r="K4" s="132" t="s">
        <v>230</v>
      </c>
      <c r="L4" s="132" t="s">
        <v>261</v>
      </c>
      <c r="M4" s="132" t="s">
        <v>232</v>
      </c>
      <c r="N4" s="132" t="s">
        <v>229</v>
      </c>
      <c r="O4" s="132" t="s">
        <v>233</v>
      </c>
      <c r="P4" s="132" t="s">
        <v>262</v>
      </c>
      <c r="Q4" s="132" t="s">
        <v>263</v>
      </c>
      <c r="R4" s="132" t="s">
        <v>242</v>
      </c>
      <c r="S4" s="132" t="s">
        <v>249</v>
      </c>
      <c r="T4" s="132" t="s">
        <v>264</v>
      </c>
      <c r="Z4" s="132" t="s">
        <v>239</v>
      </c>
      <c r="AA4" s="131">
        <v>30190</v>
      </c>
      <c r="AB4" s="131">
        <v>0</v>
      </c>
      <c r="AC4" s="131">
        <v>30190</v>
      </c>
      <c r="AD4" s="132" t="s">
        <v>240</v>
      </c>
      <c r="AE4" s="131">
        <v>30790</v>
      </c>
      <c r="AF4" s="131">
        <v>0</v>
      </c>
      <c r="AG4" s="131">
        <v>30790</v>
      </c>
      <c r="AH4" s="132" t="s">
        <v>241</v>
      </c>
      <c r="AN4" s="132" t="s">
        <v>242</v>
      </c>
      <c r="AO4" s="131">
        <v>14675</v>
      </c>
      <c r="AP4" s="131">
        <v>0.33689</v>
      </c>
      <c r="AQ4" s="132" t="s">
        <v>243</v>
      </c>
      <c r="AR4" s="132" t="s">
        <v>232</v>
      </c>
      <c r="AS4" s="132" t="s">
        <v>265</v>
      </c>
      <c r="AT4" s="131">
        <v>403368</v>
      </c>
    </row>
    <row r="5" spans="1:46" ht="12.75">
      <c r="A5" s="131">
        <v>43703.36</v>
      </c>
      <c r="B5" s="132" t="s">
        <v>266</v>
      </c>
      <c r="D5" s="132" t="s">
        <v>267</v>
      </c>
      <c r="E5" s="132" t="s">
        <v>226</v>
      </c>
      <c r="H5" s="132" t="s">
        <v>227</v>
      </c>
      <c r="I5" s="132" t="s">
        <v>228</v>
      </c>
      <c r="J5" s="132" t="s">
        <v>229</v>
      </c>
      <c r="K5" s="132" t="s">
        <v>230</v>
      </c>
      <c r="L5" s="132" t="s">
        <v>268</v>
      </c>
      <c r="M5" s="132" t="s">
        <v>232</v>
      </c>
      <c r="N5" s="132" t="s">
        <v>229</v>
      </c>
      <c r="O5" s="132" t="s">
        <v>233</v>
      </c>
      <c r="P5" s="132" t="s">
        <v>269</v>
      </c>
      <c r="Q5" s="132" t="s">
        <v>263</v>
      </c>
      <c r="R5" s="132" t="s">
        <v>270</v>
      </c>
      <c r="S5" s="132" t="s">
        <v>271</v>
      </c>
      <c r="T5" s="132" t="s">
        <v>264</v>
      </c>
      <c r="V5" s="131">
        <v>2160</v>
      </c>
      <c r="Z5" s="132" t="s">
        <v>239</v>
      </c>
      <c r="AA5" s="131">
        <v>75650</v>
      </c>
      <c r="AB5" s="131">
        <v>21240</v>
      </c>
      <c r="AC5" s="131">
        <v>96890</v>
      </c>
      <c r="AD5" s="132" t="s">
        <v>240</v>
      </c>
      <c r="AE5" s="131">
        <v>78680</v>
      </c>
      <c r="AF5" s="131">
        <v>22090</v>
      </c>
      <c r="AG5" s="131">
        <v>100770</v>
      </c>
      <c r="AH5" s="132" t="s">
        <v>241</v>
      </c>
      <c r="AN5" s="132" t="s">
        <v>242</v>
      </c>
      <c r="AO5" s="131">
        <v>43560</v>
      </c>
      <c r="AP5" s="131">
        <v>1</v>
      </c>
      <c r="AQ5" s="132" t="s">
        <v>243</v>
      </c>
      <c r="AR5" s="132" t="s">
        <v>232</v>
      </c>
      <c r="AS5" s="132" t="s">
        <v>272</v>
      </c>
      <c r="AT5" s="131">
        <v>403400</v>
      </c>
    </row>
    <row r="6" spans="1:46" ht="12.75">
      <c r="A6" s="131">
        <v>21614.93</v>
      </c>
      <c r="B6" s="132" t="s">
        <v>224</v>
      </c>
      <c r="D6" s="132" t="s">
        <v>225</v>
      </c>
      <c r="E6" s="132" t="s">
        <v>226</v>
      </c>
      <c r="H6" s="132" t="s">
        <v>227</v>
      </c>
      <c r="I6" s="132" t="s">
        <v>228</v>
      </c>
      <c r="J6" s="132" t="s">
        <v>229</v>
      </c>
      <c r="K6" s="132" t="s">
        <v>230</v>
      </c>
      <c r="L6" s="132" t="s">
        <v>231</v>
      </c>
      <c r="M6" s="132" t="s">
        <v>232</v>
      </c>
      <c r="N6" s="132" t="s">
        <v>229</v>
      </c>
      <c r="O6" s="132" t="s">
        <v>233</v>
      </c>
      <c r="P6" s="132" t="s">
        <v>234</v>
      </c>
      <c r="Q6" s="132" t="s">
        <v>235</v>
      </c>
      <c r="R6" s="132" t="s">
        <v>176</v>
      </c>
      <c r="S6" s="132" t="s">
        <v>236</v>
      </c>
      <c r="T6" s="132" t="s">
        <v>237</v>
      </c>
      <c r="U6" s="132" t="s">
        <v>238</v>
      </c>
      <c r="V6" s="131">
        <v>1340</v>
      </c>
      <c r="W6" s="131">
        <v>4</v>
      </c>
      <c r="Z6" s="132" t="s">
        <v>239</v>
      </c>
      <c r="AA6" s="131">
        <v>47500</v>
      </c>
      <c r="AB6" s="131">
        <v>57440</v>
      </c>
      <c r="AC6" s="131">
        <v>104940</v>
      </c>
      <c r="AD6" s="132" t="s">
        <v>240</v>
      </c>
      <c r="AE6" s="131">
        <v>80600</v>
      </c>
      <c r="AF6" s="131">
        <v>51400</v>
      </c>
      <c r="AG6" s="131">
        <v>132000</v>
      </c>
      <c r="AH6" s="132" t="s">
        <v>241</v>
      </c>
      <c r="AN6" s="132" t="s">
        <v>242</v>
      </c>
      <c r="AO6" s="131">
        <v>21630</v>
      </c>
      <c r="AP6" s="131">
        <v>0.49655</v>
      </c>
      <c r="AQ6" s="132" t="s">
        <v>243</v>
      </c>
      <c r="AR6" s="132" t="s">
        <v>232</v>
      </c>
      <c r="AS6" s="132" t="s">
        <v>244</v>
      </c>
      <c r="AT6" s="131">
        <v>401151</v>
      </c>
    </row>
    <row r="7" spans="1:46" ht="12.75">
      <c r="A7" s="131">
        <v>16989.27</v>
      </c>
      <c r="B7" s="132" t="s">
        <v>245</v>
      </c>
      <c r="D7" s="132" t="s">
        <v>246</v>
      </c>
      <c r="E7" s="132" t="s">
        <v>226</v>
      </c>
      <c r="H7" s="132" t="s">
        <v>227</v>
      </c>
      <c r="I7" s="132" t="s">
        <v>228</v>
      </c>
      <c r="J7" s="132" t="s">
        <v>229</v>
      </c>
      <c r="K7" s="132" t="s">
        <v>230</v>
      </c>
      <c r="L7" s="132" t="s">
        <v>247</v>
      </c>
      <c r="M7" s="132" t="s">
        <v>232</v>
      </c>
      <c r="N7" s="132" t="s">
        <v>229</v>
      </c>
      <c r="O7" s="132" t="s">
        <v>233</v>
      </c>
      <c r="P7" s="132" t="s">
        <v>248</v>
      </c>
      <c r="Q7" s="132" t="s">
        <v>235</v>
      </c>
      <c r="R7" s="132" t="s">
        <v>242</v>
      </c>
      <c r="S7" s="132" t="s">
        <v>249</v>
      </c>
      <c r="T7" s="132" t="s">
        <v>237</v>
      </c>
      <c r="Z7" s="132" t="s">
        <v>239</v>
      </c>
      <c r="AA7" s="131">
        <v>33520</v>
      </c>
      <c r="AB7" s="131">
        <v>0</v>
      </c>
      <c r="AC7" s="131">
        <v>33520</v>
      </c>
      <c r="AD7" s="132" t="s">
        <v>240</v>
      </c>
      <c r="AE7" s="131">
        <v>34190</v>
      </c>
      <c r="AF7" s="131">
        <v>0</v>
      </c>
      <c r="AG7" s="131">
        <v>34190</v>
      </c>
      <c r="AH7" s="132" t="s">
        <v>241</v>
      </c>
      <c r="AN7" s="132" t="s">
        <v>242</v>
      </c>
      <c r="AO7" s="131">
        <v>15300</v>
      </c>
      <c r="AP7" s="131">
        <v>0.35123</v>
      </c>
      <c r="AQ7" s="132" t="s">
        <v>243</v>
      </c>
      <c r="AR7" s="132" t="s">
        <v>232</v>
      </c>
      <c r="AS7" s="132" t="s">
        <v>250</v>
      </c>
      <c r="AT7" s="131">
        <v>401163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A20"/>
  <sheetViews>
    <sheetView workbookViewId="0" topLeftCell="A1">
      <selection activeCell="A1" sqref="A1"/>
    </sheetView>
  </sheetViews>
  <sheetFormatPr defaultColWidth="9.140625" defaultRowHeight="12.75" outlineLevelCol="1"/>
  <cols>
    <col min="1" max="1" width="6.57421875" style="0" bestFit="1" customWidth="1"/>
    <col min="2" max="2" width="27.140625" style="0" customWidth="1"/>
    <col min="3" max="3" width="25.28125" style="0" hidden="1" customWidth="1" outlineLevel="1"/>
    <col min="4" max="4" width="28.28125" style="0" hidden="1" customWidth="1" outlineLevel="1"/>
    <col min="5" max="5" width="28.8515625" style="0" hidden="1" customWidth="1" outlineLevel="1"/>
    <col min="6" max="6" width="9.140625" style="0" customWidth="1" collapsed="1"/>
    <col min="7" max="7" width="10.8515625" style="0" customWidth="1"/>
    <col min="8" max="8" width="6.00390625" style="0" customWidth="1"/>
    <col min="9" max="9" width="7.00390625" style="0" bestFit="1" customWidth="1"/>
    <col min="10" max="10" width="14.8515625" style="0" bestFit="1" customWidth="1"/>
    <col min="11" max="11" width="12.8515625" style="0" bestFit="1" customWidth="1"/>
    <col min="12" max="12" width="13.8515625" style="0" customWidth="1"/>
    <col min="13" max="13" width="11.28125" style="0" hidden="1" customWidth="1"/>
    <col min="14" max="14" width="7.421875" style="0" hidden="1" customWidth="1"/>
    <col min="15" max="15" width="14.8515625" style="0" hidden="1" customWidth="1"/>
    <col min="16" max="16" width="7.421875" style="0" hidden="1" customWidth="1"/>
    <col min="17" max="17" width="0" style="0" hidden="1" customWidth="1"/>
    <col min="18" max="18" width="1.7109375" style="0" customWidth="1"/>
    <col min="19" max="19" width="12.28125" style="0" bestFit="1" customWidth="1"/>
    <col min="20" max="20" width="5.7109375" style="0" bestFit="1" customWidth="1"/>
    <col min="25" max="25" width="11.28125" style="0" bestFit="1" customWidth="1"/>
    <col min="27" max="27" width="11.28125" style="0" bestFit="1" customWidth="1"/>
  </cols>
  <sheetData>
    <row r="1" spans="1:20" ht="12.75">
      <c r="A1" s="90"/>
      <c r="B1" s="91"/>
      <c r="C1" s="91"/>
      <c r="D1" s="91"/>
      <c r="E1" s="91"/>
      <c r="F1" s="215" t="s">
        <v>158</v>
      </c>
      <c r="G1" s="216"/>
      <c r="H1" s="216"/>
      <c r="I1" s="220"/>
      <c r="J1" s="215" t="s">
        <v>159</v>
      </c>
      <c r="K1" s="216"/>
      <c r="L1" s="216"/>
      <c r="M1" s="216"/>
      <c r="N1" s="216"/>
      <c r="O1" s="216"/>
      <c r="P1" s="216"/>
      <c r="Q1" s="216"/>
      <c r="R1" s="92"/>
      <c r="S1" s="17" t="s">
        <v>173</v>
      </c>
      <c r="T1" s="17" t="s">
        <v>286</v>
      </c>
    </row>
    <row r="2" spans="1:18" ht="12.75">
      <c r="A2" s="93"/>
      <c r="B2" s="94"/>
      <c r="C2" s="94"/>
      <c r="D2" s="94"/>
      <c r="E2" s="94"/>
      <c r="F2" s="95"/>
      <c r="G2" s="96"/>
      <c r="H2" s="96"/>
      <c r="I2" s="98"/>
      <c r="J2" s="213" t="s">
        <v>160</v>
      </c>
      <c r="K2" s="214"/>
      <c r="L2" s="219"/>
      <c r="M2" s="213" t="s">
        <v>161</v>
      </c>
      <c r="N2" s="219"/>
      <c r="O2" s="213" t="s">
        <v>162</v>
      </c>
      <c r="P2" s="214"/>
      <c r="Q2" s="214"/>
      <c r="R2" s="92"/>
    </row>
    <row r="3" spans="1:18" ht="12.75">
      <c r="A3" s="100" t="s">
        <v>163</v>
      </c>
      <c r="B3" s="101" t="s">
        <v>164</v>
      </c>
      <c r="C3" s="101" t="s">
        <v>165</v>
      </c>
      <c r="D3" s="101" t="s">
        <v>166</v>
      </c>
      <c r="E3" s="101" t="s">
        <v>280</v>
      </c>
      <c r="F3" s="99" t="s">
        <v>130</v>
      </c>
      <c r="G3" s="97" t="s">
        <v>167</v>
      </c>
      <c r="H3" s="97" t="s">
        <v>168</v>
      </c>
      <c r="I3" s="98" t="s">
        <v>279</v>
      </c>
      <c r="J3" s="95" t="s">
        <v>169</v>
      </c>
      <c r="K3" s="96" t="s">
        <v>170</v>
      </c>
      <c r="L3" s="102" t="s">
        <v>130</v>
      </c>
      <c r="M3" s="95" t="s">
        <v>171</v>
      </c>
      <c r="N3" s="102" t="s">
        <v>172</v>
      </c>
      <c r="O3" s="96" t="s">
        <v>173</v>
      </c>
      <c r="P3" s="96" t="s">
        <v>169</v>
      </c>
      <c r="Q3" s="96" t="s">
        <v>130</v>
      </c>
      <c r="R3" s="92"/>
    </row>
    <row r="4" spans="1:27" ht="12.75">
      <c r="A4" s="138">
        <f>A9+1</f>
        <v>3</v>
      </c>
      <c r="B4" s="139" t="str">
        <f>CONCATENATE(Taxlots_20040506!B2," (",Taxlots_20040506!D2,")")</f>
        <v>1S2E15CB  1600 (R561204520)</v>
      </c>
      <c r="C4" s="139" t="str">
        <f>CONCATENATE(Taxlots_20040506!E2," ",Taxlots_20040506!F2," ",Taxlots_20040506!G2)</f>
        <v>HOST DEVELOPMENT INC  </v>
      </c>
      <c r="D4" s="140" t="str">
        <f>Taxlots_20040506!L2</f>
        <v>10455 SE ELLIS ST</v>
      </c>
      <c r="E4" s="140" t="str">
        <f>Taxlots_20040506!P2</f>
        <v>MENTONE; LOT 11 BLOCK 32</v>
      </c>
      <c r="F4" s="147">
        <v>50</v>
      </c>
      <c r="G4" s="148">
        <f aca="true" t="shared" si="0" ref="G4:G9">F4</f>
        <v>50</v>
      </c>
      <c r="H4" s="141"/>
      <c r="I4" s="142">
        <f aca="true" t="shared" si="1" ref="I4:I9">G4/G$10</f>
        <v>0.1282051282051282</v>
      </c>
      <c r="J4" s="143">
        <f>ROUND((I4*'LID Preliminary Estimate'!E$50),2)</f>
        <v>10459.28</v>
      </c>
      <c r="K4" s="144">
        <v>0</v>
      </c>
      <c r="L4" s="145">
        <f aca="true" t="shared" si="2" ref="L4:L9">SUM(J4:K4)</f>
        <v>10459.28</v>
      </c>
      <c r="M4" s="103"/>
      <c r="N4" s="104"/>
      <c r="O4" s="105"/>
      <c r="P4" s="106"/>
      <c r="Q4" s="107"/>
      <c r="R4" s="92"/>
      <c r="S4" s="136">
        <f>MAX(Taxlots_20040506!AC2,Taxlots_20040506!AG2,Taxlots_20040506!AJ2)</f>
        <v>25950</v>
      </c>
      <c r="T4" s="152">
        <f aca="true" t="shared" si="3" ref="T4:T9">S4/L4</f>
        <v>2.4810503208633863</v>
      </c>
      <c r="U4" s="108"/>
      <c r="V4" s="108"/>
      <c r="W4" s="108"/>
      <c r="Y4" s="33"/>
      <c r="Z4" s="33"/>
      <c r="AA4" s="33"/>
    </row>
    <row r="5" spans="1:27" ht="12.75">
      <c r="A5" s="138">
        <f>A7+1</f>
        <v>6</v>
      </c>
      <c r="B5" s="139" t="str">
        <f>CONCATENATE(Taxlots_20040506!B3," (",Taxlots_20040506!D3,")")</f>
        <v>1S2E15CB  1700 (R561204570)</v>
      </c>
      <c r="C5" s="139" t="str">
        <f>CONCATENATE(Taxlots_20040506!E3," ",Taxlots_20040506!F3," ",Taxlots_20040506!G3)</f>
        <v>DOMME,JOHN P  </v>
      </c>
      <c r="D5" s="140" t="str">
        <f>Taxlots_20040506!L3</f>
        <v>10444 SE ELLIS ST</v>
      </c>
      <c r="E5" s="209" t="str">
        <f>Taxlots_20040506!P3</f>
        <v>MENTONE; LOT 5 BLOCK 33</v>
      </c>
      <c r="F5" s="147">
        <v>50</v>
      </c>
      <c r="G5" s="148">
        <f t="shared" si="0"/>
        <v>50</v>
      </c>
      <c r="H5" s="141"/>
      <c r="I5" s="142">
        <f t="shared" si="1"/>
        <v>0.1282051282051282</v>
      </c>
      <c r="J5" s="143">
        <f>ROUND((I5*'LID Preliminary Estimate'!E$50),2)</f>
        <v>10459.28</v>
      </c>
      <c r="K5" s="144">
        <v>0</v>
      </c>
      <c r="L5" s="145">
        <f t="shared" si="2"/>
        <v>10459.28</v>
      </c>
      <c r="M5" s="109"/>
      <c r="N5" s="110"/>
      <c r="O5" s="111">
        <f>MAX('[2]Taxlots_20040204'!AD4,'[2]Taxlots_20040204'!AH4,'[2]Taxlots_20040204'!AL4,'[2]Taxlots_20040204'!AN4)</f>
        <v>441030</v>
      </c>
      <c r="P5" s="112">
        <f>O5/(J5+N5)</f>
        <v>42.16638238960999</v>
      </c>
      <c r="Q5" s="113">
        <f>IF((L5+N5=0),"n.m.",(O5/(L5+N5)))</f>
        <v>42.16638238960999</v>
      </c>
      <c r="R5" s="92"/>
      <c r="S5" s="136">
        <f>MAX(Taxlots_20040506!AC3,Taxlots_20040506!AG3,Taxlots_20040506!AJ3)</f>
        <v>68070</v>
      </c>
      <c r="T5" s="152">
        <f t="shared" si="3"/>
        <v>6.508096159582686</v>
      </c>
      <c r="U5" s="108"/>
      <c r="V5" s="108"/>
      <c r="W5" s="108"/>
      <c r="Y5" s="33"/>
      <c r="Z5" s="33"/>
      <c r="AA5" s="33"/>
    </row>
    <row r="6" spans="1:27" ht="12.75">
      <c r="A6" s="138">
        <f>A4+1</f>
        <v>4</v>
      </c>
      <c r="B6" s="139" t="str">
        <f>CONCATENATE(Taxlots_20040506!B4," (",Taxlots_20040506!D4,")")</f>
        <v>1S2E15CB  2400 (R561205150)</v>
      </c>
      <c r="C6" s="139" t="str">
        <f>CONCATENATE(Taxlots_20040506!E4," ",Taxlots_20040506!F4," ",Taxlots_20040506!G4)</f>
        <v>DOMME,JOHN P  </v>
      </c>
      <c r="D6" s="140" t="str">
        <f>Taxlots_20040506!L4</f>
        <v>10508 W/ SE ELLIS ST</v>
      </c>
      <c r="E6" s="140" t="str">
        <f>Taxlots_20040506!P4</f>
        <v>MENTONE; BLOCK 42</v>
      </c>
      <c r="F6" s="147">
        <v>61.93</v>
      </c>
      <c r="G6" s="148">
        <f t="shared" si="0"/>
        <v>61.93</v>
      </c>
      <c r="H6" s="141" t="s">
        <v>242</v>
      </c>
      <c r="I6" s="142">
        <f t="shared" si="1"/>
        <v>0.15879487179487178</v>
      </c>
      <c r="J6" s="143">
        <f>ROUND((I6*'LID Preliminary Estimate'!E$50),2)-0.01</f>
        <v>12954.85</v>
      </c>
      <c r="K6" s="144">
        <v>0</v>
      </c>
      <c r="L6" s="145">
        <f t="shared" si="2"/>
        <v>12954.85</v>
      </c>
      <c r="M6" s="103"/>
      <c r="N6" s="104"/>
      <c r="O6" s="105"/>
      <c r="P6" s="106"/>
      <c r="Q6" s="107"/>
      <c r="R6" s="92"/>
      <c r="S6" s="136">
        <f>MAX(Taxlots_20040506!AC4,Taxlots_20040506!AG4,Taxlots_20040506!AJ4)</f>
        <v>30790</v>
      </c>
      <c r="T6" s="152">
        <f t="shared" si="3"/>
        <v>2.3767160561488554</v>
      </c>
      <c r="U6" s="108"/>
      <c r="V6" s="108"/>
      <c r="W6" s="108"/>
      <c r="Y6" s="33"/>
      <c r="Z6" s="33"/>
      <c r="AA6" s="33"/>
    </row>
    <row r="7" spans="1:27" ht="12.75">
      <c r="A7" s="138">
        <f>A6+1</f>
        <v>5</v>
      </c>
      <c r="B7" s="139" t="str">
        <f>CONCATENATE(Taxlots_20040506!B5," (",Taxlots_20040506!D5,")")</f>
        <v>1S2E15CB  2500 (R561205910)</v>
      </c>
      <c r="C7" s="139" t="str">
        <f>CONCATENATE(Taxlots_20040506!E5," ",Taxlots_20040506!F5," ",Taxlots_20040506!G5)</f>
        <v>DOMME,JOHN P  </v>
      </c>
      <c r="D7" s="140" t="str">
        <f>Taxlots_20040506!L5</f>
        <v>10508 SE ELLIS ST</v>
      </c>
      <c r="E7" s="140" t="str">
        <f>Taxlots_20040506!P5</f>
        <v>MENTONE; BLOCK 53</v>
      </c>
      <c r="F7" s="147">
        <f>120-F6+(50/2)</f>
        <v>83.07</v>
      </c>
      <c r="G7" s="148">
        <f t="shared" si="0"/>
        <v>83.07</v>
      </c>
      <c r="H7" s="141" t="s">
        <v>242</v>
      </c>
      <c r="I7" s="142">
        <f t="shared" si="1"/>
        <v>0.213</v>
      </c>
      <c r="J7" s="143">
        <f>ROUND((I7*'LID Preliminary Estimate'!E$50),2)</f>
        <v>17377.04</v>
      </c>
      <c r="K7" s="144">
        <v>0</v>
      </c>
      <c r="L7" s="145">
        <f t="shared" si="2"/>
        <v>17377.04</v>
      </c>
      <c r="M7" s="103"/>
      <c r="N7" s="104"/>
      <c r="O7" s="105">
        <f>MAX('[2]Taxlots_20040204'!AD3,'[2]Taxlots_20040204'!AH3,'[2]Taxlots_20040204'!AL3,'[2]Taxlots_20040204'!AN3)</f>
        <v>950000</v>
      </c>
      <c r="P7" s="106">
        <f>O7/(J7+N7)</f>
        <v>54.669840202934445</v>
      </c>
      <c r="Q7" s="107">
        <f>IF((L7+N7=0),"n.m.",(O7/(L7+N7)))</f>
        <v>54.669840202934445</v>
      </c>
      <c r="R7" s="92"/>
      <c r="S7" s="136">
        <f>MAX(Taxlots_20040506!AC5,Taxlots_20040506!AG5,Taxlots_20040506!AJ5)</f>
        <v>100770</v>
      </c>
      <c r="T7" s="152">
        <f t="shared" si="3"/>
        <v>5.799031365526004</v>
      </c>
      <c r="U7" s="108"/>
      <c r="V7" s="108"/>
      <c r="W7" s="108"/>
      <c r="Y7" s="33"/>
      <c r="Z7" s="33"/>
      <c r="AA7" s="33"/>
    </row>
    <row r="8" spans="1:27" ht="12.75">
      <c r="A8" s="138">
        <v>1</v>
      </c>
      <c r="B8" s="139" t="str">
        <f>CONCATENATE(Taxlots_20040506!B6," (",Taxlots_20040506!D6,")")</f>
        <v>1S2E15CB  400 (R561205250)</v>
      </c>
      <c r="C8" s="139" t="str">
        <f>CONCATENATE(Taxlots_20040506!E6," ",Taxlots_20040506!F6," ",Taxlots_20040506!G6)</f>
        <v>DOMME,JOHN P  </v>
      </c>
      <c r="D8" s="140" t="str">
        <f>Taxlots_20040506!L6</f>
        <v>10464 SE HAROLD ST</v>
      </c>
      <c r="E8" s="140" t="str">
        <f>Taxlots_20040506!P6</f>
        <v>MENTONE; W 1/2 OF BLOCK 44</v>
      </c>
      <c r="F8" s="147">
        <f>120-F9+(50/2)</f>
        <v>84.41</v>
      </c>
      <c r="G8" s="148">
        <f t="shared" si="0"/>
        <v>84.41</v>
      </c>
      <c r="H8" s="141" t="s">
        <v>242</v>
      </c>
      <c r="I8" s="142">
        <f t="shared" si="1"/>
        <v>0.21643589743589742</v>
      </c>
      <c r="J8" s="143">
        <f>ROUND((I8*'LID Preliminary Estimate'!E$50),2)</f>
        <v>17657.35</v>
      </c>
      <c r="K8" s="144">
        <v>0</v>
      </c>
      <c r="L8" s="145">
        <f t="shared" si="2"/>
        <v>17657.35</v>
      </c>
      <c r="M8" s="103"/>
      <c r="N8" s="104"/>
      <c r="O8" s="105">
        <f>MAX('[2]Taxlots_20040204'!AD2,'[2]Taxlots_20040204'!AH2,'[2]Taxlots_20040204'!AL2,'[2]Taxlots_20040204'!AN2)</f>
        <v>9151420</v>
      </c>
      <c r="P8" s="106">
        <f>O8/(J8+N8)</f>
        <v>518.2782240823227</v>
      </c>
      <c r="Q8" s="107">
        <f>IF((L8+N8=0),"n.m.",(O8/(L8+N8)))</f>
        <v>518.2782240823227</v>
      </c>
      <c r="R8" s="92"/>
      <c r="S8" s="136">
        <f>MAX(Taxlots_20040506!AC6,Taxlots_20040506!AG6,Taxlots_20040506!AJ6)</f>
        <v>132000</v>
      </c>
      <c r="T8" s="152">
        <f t="shared" si="3"/>
        <v>7.475640455674267</v>
      </c>
      <c r="U8" s="108"/>
      <c r="V8" s="108"/>
      <c r="W8" s="108"/>
      <c r="Y8" s="33"/>
      <c r="Z8" s="33"/>
      <c r="AA8" s="33"/>
    </row>
    <row r="9" spans="1:27" ht="12.75">
      <c r="A9" s="138">
        <f>A8+1</f>
        <v>2</v>
      </c>
      <c r="B9" s="139" t="str">
        <f>CONCATENATE(Taxlots_20040506!B7," (",Taxlots_20040506!D7,")")</f>
        <v>1S2E15CB  500 (R561205180)</v>
      </c>
      <c r="C9" s="139" t="str">
        <f>CONCATENATE(Taxlots_20040506!E7," ",Taxlots_20040506!F7," ",Taxlots_20040506!G7)</f>
        <v>DOMME,JOHN P  </v>
      </c>
      <c r="D9" s="140" t="str">
        <f>Taxlots_20040506!L7</f>
        <v>10454 SE HAROLD ST</v>
      </c>
      <c r="E9" s="140" t="str">
        <f>Taxlots_20040506!P7</f>
        <v>MENTONE; BLOCK 43</v>
      </c>
      <c r="F9" s="147">
        <v>60.59</v>
      </c>
      <c r="G9" s="148">
        <f t="shared" si="0"/>
        <v>60.59</v>
      </c>
      <c r="H9" s="141" t="s">
        <v>242</v>
      </c>
      <c r="I9" s="142">
        <f t="shared" si="1"/>
        <v>0.15535897435897436</v>
      </c>
      <c r="J9" s="143">
        <f>ROUND((I9*'LID Preliminary Estimate'!E$50),2)</f>
        <v>12674.55</v>
      </c>
      <c r="K9" s="144">
        <v>0</v>
      </c>
      <c r="L9" s="145">
        <f t="shared" si="2"/>
        <v>12674.55</v>
      </c>
      <c r="M9" s="103"/>
      <c r="N9" s="104"/>
      <c r="O9" s="105"/>
      <c r="P9" s="106"/>
      <c r="Q9" s="107"/>
      <c r="R9" s="92"/>
      <c r="S9" s="136">
        <f>MAX(Taxlots_20040506!AC7,Taxlots_20040506!AG7,Taxlots_20040506!AJ7)</f>
        <v>34190</v>
      </c>
      <c r="T9" s="152">
        <f t="shared" si="3"/>
        <v>2.697531667790967</v>
      </c>
      <c r="U9" s="108"/>
      <c r="V9" s="108"/>
      <c r="W9" s="108"/>
      <c r="Y9" s="33"/>
      <c r="Z9" s="33"/>
      <c r="AA9" s="33"/>
    </row>
    <row r="10" spans="1:27" ht="13.5" thickBot="1">
      <c r="A10" s="114">
        <f>COUNT(A8:A9)</f>
        <v>2</v>
      </c>
      <c r="B10" s="115"/>
      <c r="C10" s="115"/>
      <c r="D10" s="115"/>
      <c r="E10" s="115"/>
      <c r="F10" s="149">
        <f>SUM(F4:F9)</f>
        <v>390</v>
      </c>
      <c r="G10" s="150">
        <f>SUM(G4:G9)</f>
        <v>390</v>
      </c>
      <c r="H10" s="116"/>
      <c r="I10" s="117">
        <f>SUM(I4:I9)</f>
        <v>1</v>
      </c>
      <c r="J10" s="118">
        <f>SUM(J4:J9)</f>
        <v>81582.35</v>
      </c>
      <c r="K10" s="119">
        <f>SUM(K4:K9)</f>
        <v>0</v>
      </c>
      <c r="L10" s="120">
        <f>SUM(L4:L9)</f>
        <v>81582.35</v>
      </c>
      <c r="M10" s="121"/>
      <c r="N10" s="122">
        <v>0</v>
      </c>
      <c r="O10" s="123">
        <f>SUM(O8:O9)</f>
        <v>9151420</v>
      </c>
      <c r="P10" s="124">
        <f>O10/(J10+N10)</f>
        <v>112.1740180320866</v>
      </c>
      <c r="Q10" s="124">
        <f>IF((L10+N10=0),"n.m.",(O10/(L10+N10)))</f>
        <v>112.1740180320866</v>
      </c>
      <c r="R10" s="92"/>
      <c r="S10" s="153">
        <f>SUM(S4:S9)</f>
        <v>391770</v>
      </c>
      <c r="T10" s="152">
        <f>SUM(T4:T9)</f>
        <v>27.338066025586166</v>
      </c>
      <c r="U10" s="108"/>
      <c r="V10" s="108"/>
      <c r="W10" s="108"/>
      <c r="X10" s="108"/>
      <c r="Y10" s="33"/>
      <c r="Z10" s="33"/>
      <c r="AA10" s="33"/>
    </row>
    <row r="11" spans="3:27" ht="12.75">
      <c r="C11" t="s">
        <v>174</v>
      </c>
      <c r="F11" s="217" t="s">
        <v>175</v>
      </c>
      <c r="G11" s="218"/>
      <c r="H11" s="218"/>
      <c r="I11" s="218"/>
      <c r="J11" s="135">
        <f>ROUND((J10/G10),6)</f>
        <v>209.185513</v>
      </c>
      <c r="K11" s="125"/>
      <c r="L11" s="125"/>
      <c r="U11" s="108"/>
      <c r="V11" s="108"/>
      <c r="W11" s="108"/>
      <c r="X11" s="108"/>
      <c r="Y11" s="33"/>
      <c r="Z11" s="33"/>
      <c r="AA11" s="33"/>
    </row>
    <row r="12" spans="1:20" ht="12.75">
      <c r="A12" s="126"/>
      <c r="F12" s="11"/>
      <c r="G12" s="127"/>
      <c r="J12" s="70"/>
      <c r="K12" s="70"/>
      <c r="L12" s="70"/>
      <c r="O12" s="128"/>
      <c r="P12" s="128"/>
      <c r="Q12" s="129"/>
      <c r="T12" t="str">
        <f>IF(J10='LID Preliminary Estimate'!E50,"O.K.","Error")</f>
        <v>O.K.</v>
      </c>
    </row>
    <row r="13" spans="1:17" ht="12.75">
      <c r="A13" s="126" t="s">
        <v>177</v>
      </c>
      <c r="J13" s="33"/>
      <c r="K13" s="33"/>
      <c r="L13" s="33"/>
      <c r="Q13" s="130"/>
    </row>
    <row r="14" spans="1:17" ht="12.75">
      <c r="A14" s="17" t="s">
        <v>285</v>
      </c>
      <c r="J14" s="33"/>
      <c r="K14" s="33"/>
      <c r="L14" s="33"/>
      <c r="Q14" s="130"/>
    </row>
    <row r="15" ht="12.75">
      <c r="A15" s="17"/>
    </row>
    <row r="16" ht="12.75">
      <c r="A16" s="17"/>
    </row>
    <row r="17" ht="12.75">
      <c r="A17" s="17"/>
    </row>
    <row r="18" ht="12.75">
      <c r="A18" s="17"/>
    </row>
    <row r="19" ht="12.75">
      <c r="A19" s="17"/>
    </row>
    <row r="20" ht="12.75">
      <c r="J20" s="151"/>
    </row>
  </sheetData>
  <mergeCells count="6">
    <mergeCell ref="O2:Q2"/>
    <mergeCell ref="J1:Q1"/>
    <mergeCell ref="F11:I11"/>
    <mergeCell ref="J2:L2"/>
    <mergeCell ref="F1:I1"/>
    <mergeCell ref="M2:N2"/>
  </mergeCells>
  <printOptions horizontalCentered="1"/>
  <pageMargins left="0.5" right="0.5" top="1.5" bottom="1.5" header="0.5" footer="0.5"/>
  <pageSetup fitToHeight="1" fitToWidth="1" horizontalDpi="600" verticalDpi="600" orientation="landscape" paperSize="3" r:id="rId1"/>
  <headerFooter alignWithMargins="0">
    <oddHeader>&amp;C&amp;"Arial,Bold"&amp;11NE 148th AVENUE
LOCAL IMPROVEMENT DISTRICT
Assessment Worksheet</oddHeader>
    <oddFooter>&amp;L&amp;"Arial,Italic"&amp;9&amp;F&amp;R&amp;"Arial,Italic"&amp;9&amp;D</oddFooter>
  </headerFooter>
</worksheet>
</file>

<file path=xl/worksheets/sheet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23.140625" style="0" bestFit="1" customWidth="1"/>
    <col min="2" max="2" width="8.7109375" style="0" bestFit="1" customWidth="1"/>
  </cols>
  <sheetData>
    <row r="1" spans="1:2" ht="12.75">
      <c r="A1" t="s">
        <v>281</v>
      </c>
      <c r="B1" s="136">
        <f>'LID Preliminary Estimate'!D20+'LID Preliminary Estimate'!D21</f>
        <v>11002.900000000001</v>
      </c>
    </row>
    <row r="2" spans="1:2" ht="12.75">
      <c r="A2" t="s">
        <v>132</v>
      </c>
      <c r="B2" s="136">
        <f>'LID Preliminary Estimate'!D13+'LID Preliminary Estimate'!D15</f>
        <v>44011.59</v>
      </c>
    </row>
    <row r="3" spans="1:2" ht="12.75">
      <c r="A3" t="s">
        <v>282</v>
      </c>
      <c r="B3" s="136">
        <f>'LID Preliminary Estimate'!D22+'LID Preliminary Estimate'!D24</f>
        <v>6601.74</v>
      </c>
    </row>
    <row r="4" spans="1:2" ht="12.75">
      <c r="A4" t="s">
        <v>283</v>
      </c>
      <c r="B4" s="136">
        <f>'LID Preliminary Estimate'!E28+'LID Preliminary Estimate'!E40</f>
        <v>4011.92</v>
      </c>
    </row>
    <row r="5" spans="1:2" ht="12.75">
      <c r="A5" t="s">
        <v>144</v>
      </c>
      <c r="B5" s="136">
        <f>'LID Preliminary Estimate'!E34</f>
        <v>15954.199999999999</v>
      </c>
    </row>
    <row r="6" spans="1:2" ht="12.75">
      <c r="A6" s="17" t="s">
        <v>130</v>
      </c>
      <c r="B6" s="137">
        <f>SUM(B1:B5)</f>
        <v>81582.34999999999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22">
    <pageSetUpPr fitToPage="1"/>
  </sheetPr>
  <dimension ref="A1:K56"/>
  <sheetViews>
    <sheetView workbookViewId="0" topLeftCell="A27">
      <selection activeCell="D40" sqref="D40"/>
    </sheetView>
  </sheetViews>
  <sheetFormatPr defaultColWidth="9.140625" defaultRowHeight="12.75"/>
  <cols>
    <col min="1" max="2" width="4.28125" style="18" customWidth="1"/>
    <col min="3" max="3" width="85.28125" style="18" bestFit="1" customWidth="1"/>
    <col min="4" max="4" width="18.57421875" style="18" bestFit="1" customWidth="1"/>
    <col min="5" max="6" width="17.28125" style="18" bestFit="1" customWidth="1"/>
    <col min="7" max="7" width="1.8515625" style="18" customWidth="1"/>
    <col min="8" max="8" width="9.140625" style="18" customWidth="1"/>
    <col min="9" max="11" width="11.28125" style="18" bestFit="1" customWidth="1"/>
    <col min="12" max="16384" width="9.140625" style="18" customWidth="1"/>
  </cols>
  <sheetData>
    <row r="1" spans="1:6" ht="15">
      <c r="A1" s="7" t="s">
        <v>0</v>
      </c>
      <c r="B1" s="7"/>
      <c r="C1" s="71"/>
      <c r="D1" s="72"/>
      <c r="E1" s="72"/>
      <c r="F1" s="72"/>
    </row>
    <row r="2" spans="1:6" ht="15">
      <c r="A2" s="7" t="s">
        <v>1</v>
      </c>
      <c r="B2" s="7"/>
      <c r="C2" s="71"/>
      <c r="D2" s="72"/>
      <c r="E2" s="72"/>
      <c r="F2" s="72"/>
    </row>
    <row r="3" spans="1:6" ht="12.75">
      <c r="A3" s="7"/>
      <c r="B3" s="7"/>
      <c r="C3" s="72"/>
      <c r="D3" s="72"/>
      <c r="E3" s="72"/>
      <c r="F3" s="72"/>
    </row>
    <row r="9" spans="1:6" ht="13.5" thickBot="1">
      <c r="A9" s="73"/>
      <c r="B9" s="73"/>
      <c r="C9" s="73"/>
      <c r="D9" s="73"/>
      <c r="E9" s="73"/>
      <c r="F9" s="73"/>
    </row>
    <row r="10" spans="1:6" ht="13.5" thickTop="1">
      <c r="A10" s="53"/>
      <c r="B10" s="53"/>
      <c r="C10" s="53"/>
      <c r="D10" s="53"/>
      <c r="E10" s="53"/>
      <c r="F10" s="53"/>
    </row>
    <row r="11" spans="1:7" ht="17.25" customHeight="1">
      <c r="A11" s="74" t="s">
        <v>132</v>
      </c>
      <c r="B11" s="74"/>
      <c r="C11" s="75"/>
      <c r="D11" s="76"/>
      <c r="E11" s="76"/>
      <c r="F11" s="76"/>
      <c r="G11" s="77"/>
    </row>
    <row r="12" spans="1:7" ht="17.25" customHeight="1">
      <c r="A12" s="75"/>
      <c r="B12" s="75" t="s">
        <v>133</v>
      </c>
      <c r="C12" s="75"/>
      <c r="D12" s="76"/>
      <c r="E12" s="76"/>
      <c r="F12" s="76"/>
      <c r="G12" s="77"/>
    </row>
    <row r="13" spans="1:8" ht="17.25" customHeight="1">
      <c r="A13" s="75"/>
      <c r="B13" s="75"/>
      <c r="C13" s="78" t="s">
        <v>134</v>
      </c>
      <c r="D13" s="79">
        <f>ROUND(+'Lents III-east 170'' of Ellis'!F109-(('Lents III-east 170'' of Ellis'!F34+'Lents III-east 170'' of Ellis'!F36+'Lents III-east 170'' of Ellis'!F39)*1.05),2)</f>
        <v>40187.49</v>
      </c>
      <c r="E13" s="75"/>
      <c r="G13" s="77"/>
      <c r="H13" s="80"/>
    </row>
    <row r="14" spans="1:7" ht="17.25" customHeight="1">
      <c r="A14" s="75"/>
      <c r="B14" s="75"/>
      <c r="C14" s="78" t="s">
        <v>136</v>
      </c>
      <c r="D14" s="79">
        <v>0</v>
      </c>
      <c r="E14" s="75"/>
      <c r="G14" s="77"/>
    </row>
    <row r="15" spans="1:8" ht="17.25" customHeight="1">
      <c r="A15" s="75"/>
      <c r="B15" s="75"/>
      <c r="C15" s="78" t="s">
        <v>135</v>
      </c>
      <c r="D15" s="79">
        <f>ROUND((('Lents III-east 170'' of Ellis'!F34+'Lents III-east 170'' of Ellis'!F36+'Lents III-east 170'' of Ellis'!F39)*1.05),2)</f>
        <v>3824.1</v>
      </c>
      <c r="E15" s="75"/>
      <c r="G15" s="77"/>
      <c r="H15" s="80"/>
    </row>
    <row r="16" spans="1:9" ht="17.25" customHeight="1">
      <c r="A16" s="75"/>
      <c r="B16" s="75"/>
      <c r="C16" s="75" t="s">
        <v>130</v>
      </c>
      <c r="D16" s="81"/>
      <c r="E16" s="82">
        <f>SUM(D13:D15)</f>
        <v>44011.59</v>
      </c>
      <c r="F16" s="39"/>
      <c r="G16" s="77"/>
      <c r="I16" s="18" t="str">
        <f>IF(E16='Lents III-east 170'' of Ellis'!F109,"O.K.","Error")</f>
        <v>O.K.</v>
      </c>
    </row>
    <row r="17" spans="1:7" ht="17.25" customHeight="1">
      <c r="A17" s="75"/>
      <c r="B17" s="75"/>
      <c r="C17" s="83"/>
      <c r="D17" s="75"/>
      <c r="E17" s="75"/>
      <c r="G17" s="77"/>
    </row>
    <row r="18" spans="1:7" ht="17.25" customHeight="1">
      <c r="A18" s="83" t="s">
        <v>137</v>
      </c>
      <c r="B18" s="75"/>
      <c r="C18" s="83"/>
      <c r="D18" s="75"/>
      <c r="E18" s="75"/>
      <c r="G18" s="77"/>
    </row>
    <row r="19" spans="1:7" ht="17.25" customHeight="1">
      <c r="A19" s="83"/>
      <c r="B19" s="75" t="s">
        <v>138</v>
      </c>
      <c r="C19" s="83"/>
      <c r="D19" s="75"/>
      <c r="E19" s="75"/>
      <c r="G19" s="77"/>
    </row>
    <row r="20" spans="1:7" ht="17.25" customHeight="1">
      <c r="A20" s="75"/>
      <c r="B20" s="75"/>
      <c r="C20" s="75" t="s">
        <v>139</v>
      </c>
      <c r="D20" s="79">
        <f>ROUND((((D13+E14)/E16)*'Lents III-east 170'' of Ellis'!F112),2)</f>
        <v>10046.87</v>
      </c>
      <c r="G20" s="77"/>
    </row>
    <row r="21" spans="1:7" ht="17.25" customHeight="1">
      <c r="A21" s="75"/>
      <c r="B21" s="75"/>
      <c r="C21" s="75" t="s">
        <v>140</v>
      </c>
      <c r="D21" s="79">
        <f>ROUND(((D15/E16)*'Lents III-east 170'' of Ellis'!F112),2)</f>
        <v>956.03</v>
      </c>
      <c r="E21" s="84"/>
      <c r="G21" s="77"/>
    </row>
    <row r="22" spans="1:7" ht="17.25" customHeight="1">
      <c r="A22" s="75"/>
      <c r="B22" s="75"/>
      <c r="C22" s="75" t="s">
        <v>141</v>
      </c>
      <c r="D22" s="79">
        <f>ROUND((((D13+E14)/E16)*'Lents III-east 170'' of Ellis'!F113),2)</f>
        <v>6028.12</v>
      </c>
      <c r="E22" s="84"/>
      <c r="G22" s="77"/>
    </row>
    <row r="23" spans="1:7" ht="17.25" customHeight="1" hidden="1">
      <c r="A23" s="75"/>
      <c r="B23" s="75"/>
      <c r="C23" s="75" t="s">
        <v>142</v>
      </c>
      <c r="D23" s="79" t="s">
        <v>284</v>
      </c>
      <c r="E23" s="85"/>
      <c r="G23" s="77"/>
    </row>
    <row r="24" spans="1:7" ht="17.25" customHeight="1">
      <c r="A24" s="75"/>
      <c r="B24" s="75"/>
      <c r="C24" s="75" t="s">
        <v>142</v>
      </c>
      <c r="D24" s="79">
        <f>ROUND(((D15/E16)*'Lents III-east 170'' of Ellis'!F113),2)</f>
        <v>573.62</v>
      </c>
      <c r="E24" s="85"/>
      <c r="G24" s="77"/>
    </row>
    <row r="25" spans="1:9" ht="17.25" customHeight="1">
      <c r="A25" s="75"/>
      <c r="B25" s="75"/>
      <c r="C25" s="75"/>
      <c r="D25" s="75"/>
      <c r="E25" s="86">
        <f>SUM(D20:D24)</f>
        <v>17604.64</v>
      </c>
      <c r="G25" s="77"/>
      <c r="I25" s="18" t="str">
        <f>IF(E25=(ROUND(('Lents III-east 170'' of Ellis'!F112+'Lents III-east 170'' of Ellis'!F113),2)),"O.K.","Error")</f>
        <v>O.K.</v>
      </c>
    </row>
    <row r="26" spans="1:7" ht="17.25" customHeight="1">
      <c r="A26" s="83" t="s">
        <v>143</v>
      </c>
      <c r="B26" s="75"/>
      <c r="C26" s="83"/>
      <c r="D26" s="75"/>
      <c r="E26" s="75"/>
      <c r="G26" s="77"/>
    </row>
    <row r="27" spans="1:7" ht="17.25" customHeight="1">
      <c r="A27" s="83"/>
      <c r="B27" s="75" t="s">
        <v>143</v>
      </c>
      <c r="C27" s="83"/>
      <c r="D27" s="79">
        <f>ROUND(('Lents III-east 170'' of Ellis'!F111),2)</f>
        <v>2200.58</v>
      </c>
      <c r="E27" s="75"/>
      <c r="G27" s="77"/>
    </row>
    <row r="28" spans="1:9" ht="17.25" customHeight="1">
      <c r="A28" s="83"/>
      <c r="B28" s="75"/>
      <c r="C28" s="83"/>
      <c r="D28" s="75"/>
      <c r="E28" s="82">
        <f>D27</f>
        <v>2200.58</v>
      </c>
      <c r="G28" s="77"/>
      <c r="I28" s="18" t="str">
        <f>IF(E28=ROUND(('Lents III-east 170'' of Ellis'!F111),2),"O.K.","Error")</f>
        <v>O.K.</v>
      </c>
    </row>
    <row r="29" spans="1:7" ht="17.25" customHeight="1">
      <c r="A29" s="83"/>
      <c r="B29" s="75"/>
      <c r="C29" s="83"/>
      <c r="D29" s="75"/>
      <c r="E29" s="81"/>
      <c r="G29" s="77"/>
    </row>
    <row r="30" spans="1:7" ht="17.25" customHeight="1">
      <c r="A30" s="83" t="s">
        <v>144</v>
      </c>
      <c r="B30" s="75"/>
      <c r="C30" s="75"/>
      <c r="D30" s="75"/>
      <c r="E30" s="75"/>
      <c r="G30" s="77"/>
    </row>
    <row r="31" spans="1:7" ht="17.25" customHeight="1">
      <c r="A31" s="75"/>
      <c r="B31" s="221" t="s">
        <v>134</v>
      </c>
      <c r="C31" s="221"/>
      <c r="D31" s="79">
        <f>ROUNDDOWN((((D13+E14)/E16)*'Lents III-east 170'' of Ellis'!F119),2)</f>
        <v>14567.96</v>
      </c>
      <c r="E31" s="81"/>
      <c r="G31" s="77"/>
    </row>
    <row r="32" spans="1:7" ht="17.25" customHeight="1">
      <c r="A32" s="75"/>
      <c r="B32" s="221" t="s">
        <v>135</v>
      </c>
      <c r="C32" s="221"/>
      <c r="D32" s="79">
        <f>ROUND(((D15/E16)*'Lents III-east 170'' of Ellis'!F119),2)</f>
        <v>1386.24</v>
      </c>
      <c r="E32" s="81"/>
      <c r="G32" s="77"/>
    </row>
    <row r="33" spans="1:7" ht="17.25" customHeight="1">
      <c r="A33" s="75"/>
      <c r="B33" s="221" t="s">
        <v>136</v>
      </c>
      <c r="C33" s="221"/>
      <c r="D33" s="79">
        <v>0</v>
      </c>
      <c r="E33" s="81"/>
      <c r="G33" s="77"/>
    </row>
    <row r="34" spans="1:9" ht="17.25" customHeight="1">
      <c r="A34" s="75"/>
      <c r="B34" s="75"/>
      <c r="C34" s="75"/>
      <c r="D34" s="75"/>
      <c r="E34" s="86">
        <f>SUM(D31:D33)</f>
        <v>15954.199999999999</v>
      </c>
      <c r="G34" s="77"/>
      <c r="I34" s="18" t="str">
        <f>IF(E34=ROUND(('Lents III-east 170'' of Ellis'!F119),2),"O.K.","Error")</f>
        <v>O.K.</v>
      </c>
    </row>
    <row r="35" spans="1:7" ht="17.25" customHeight="1">
      <c r="A35" s="75"/>
      <c r="B35" s="75"/>
      <c r="C35" s="75"/>
      <c r="D35" s="75"/>
      <c r="E35" s="81"/>
      <c r="G35" s="77"/>
    </row>
    <row r="36" spans="1:7" ht="17.25" customHeight="1">
      <c r="A36" s="83" t="s">
        <v>145</v>
      </c>
      <c r="B36" s="75"/>
      <c r="C36" s="75"/>
      <c r="D36" s="75"/>
      <c r="E36" s="75"/>
      <c r="G36" s="77"/>
    </row>
    <row r="37" spans="1:7" ht="17.25" customHeight="1">
      <c r="A37" s="83"/>
      <c r="B37" s="75" t="s">
        <v>146</v>
      </c>
      <c r="C37" s="75"/>
      <c r="D37" s="79">
        <f>ROUND(((E16+E25+E28+E34)*0.5*0.0323),2)</f>
        <v>1288.3</v>
      </c>
      <c r="E37" s="75"/>
      <c r="G37" s="77"/>
    </row>
    <row r="38" spans="1:7" ht="17.25" customHeight="1">
      <c r="A38" s="83"/>
      <c r="B38" s="75" t="s">
        <v>147</v>
      </c>
      <c r="C38" s="75"/>
      <c r="D38" s="79">
        <f>ROUND(((E16+E25+E28+E34+D37)*0.00438),2)</f>
        <v>355.04</v>
      </c>
      <c r="E38" s="87"/>
      <c r="G38" s="77"/>
    </row>
    <row r="39" spans="1:7" ht="17.25" customHeight="1">
      <c r="A39" s="83"/>
      <c r="B39" s="75" t="s">
        <v>148</v>
      </c>
      <c r="C39" s="75"/>
      <c r="D39" s="79">
        <f>COUNT(Taxlots_20040506!A2:A7)*28</f>
        <v>168</v>
      </c>
      <c r="E39" s="75"/>
      <c r="G39" s="77"/>
    </row>
    <row r="40" spans="1:7" ht="17.25" customHeight="1">
      <c r="A40" s="83"/>
      <c r="B40" s="75"/>
      <c r="C40" s="75"/>
      <c r="D40" s="81"/>
      <c r="E40" s="82">
        <f>SUM(D37:D39)</f>
        <v>1811.34</v>
      </c>
      <c r="G40" s="77"/>
    </row>
    <row r="41" spans="1:7" ht="17.25" customHeight="1">
      <c r="A41" s="83"/>
      <c r="B41" s="75"/>
      <c r="C41" s="75"/>
      <c r="D41" s="81"/>
      <c r="E41" s="81"/>
      <c r="G41" s="77"/>
    </row>
    <row r="42" spans="1:7" ht="17.25" customHeight="1">
      <c r="A42" s="83" t="s">
        <v>149</v>
      </c>
      <c r="B42" s="75"/>
      <c r="C42" s="75"/>
      <c r="D42" s="81"/>
      <c r="E42" s="75"/>
      <c r="G42" s="77"/>
    </row>
    <row r="43" spans="1:7" ht="17.25" customHeight="1">
      <c r="A43" s="83"/>
      <c r="B43" s="75" t="s">
        <v>150</v>
      </c>
      <c r="C43" s="75"/>
      <c r="D43" s="75"/>
      <c r="E43" s="88">
        <f>ROUND(((D13+D14+D20+D22+D27+D31+D33)*0.2426),2)</f>
        <v>17717.33</v>
      </c>
      <c r="F43" s="39"/>
      <c r="G43" s="77"/>
    </row>
    <row r="44" spans="1:7" ht="17.25" customHeight="1" thickBot="1">
      <c r="A44" s="83"/>
      <c r="B44" s="83"/>
      <c r="C44" s="75"/>
      <c r="D44" s="75"/>
      <c r="E44" s="81"/>
      <c r="F44" s="75"/>
      <c r="G44" s="77"/>
    </row>
    <row r="45" spans="1:11" ht="17.25" customHeight="1" thickBot="1" thickTop="1">
      <c r="A45" s="83" t="s">
        <v>151</v>
      </c>
      <c r="B45" s="75"/>
      <c r="C45" s="75"/>
      <c r="D45" s="75"/>
      <c r="E45" s="75"/>
      <c r="F45" s="89">
        <f>E16+E25+E28+E34+E40+E43</f>
        <v>99299.68</v>
      </c>
      <c r="G45" s="77"/>
      <c r="I45" s="146" t="str">
        <f>IF(F45-E43-E40-ROUND(('Lents III-east 170'' of Ellis'!F122),2)=0,"O.K.","Error")</f>
        <v>O.K.</v>
      </c>
      <c r="J45" s="146"/>
      <c r="K45" s="146"/>
    </row>
    <row r="46" spans="1:7" ht="17.25" customHeight="1" thickTop="1">
      <c r="A46" s="83"/>
      <c r="B46" s="75"/>
      <c r="C46" s="75"/>
      <c r="D46" s="75"/>
      <c r="E46" s="75"/>
      <c r="F46" s="81"/>
      <c r="G46" s="77"/>
    </row>
    <row r="47" spans="1:7" ht="17.25" customHeight="1">
      <c r="A47" s="83" t="s">
        <v>152</v>
      </c>
      <c r="B47" s="75"/>
      <c r="C47" s="75"/>
      <c r="D47" s="75"/>
      <c r="E47" s="75"/>
      <c r="F47" s="81"/>
      <c r="G47" s="77"/>
    </row>
    <row r="48" spans="1:7" ht="17.25" customHeight="1">
      <c r="A48" s="75"/>
      <c r="B48" s="75" t="s">
        <v>153</v>
      </c>
      <c r="C48" s="75"/>
      <c r="D48" s="79">
        <f>F45-E43</f>
        <v>81582.34999999999</v>
      </c>
      <c r="E48" s="75"/>
      <c r="F48" s="75"/>
      <c r="G48" s="77"/>
    </row>
    <row r="49" spans="1:7" ht="17.25" customHeight="1">
      <c r="A49" s="75"/>
      <c r="B49" s="75" t="s">
        <v>154</v>
      </c>
      <c r="C49" s="75"/>
      <c r="D49" s="79">
        <f>'[2]LID Preliminary Estimate - S'!D49+'[2]LID Preliminary Estimate - N'!D49</f>
        <v>0</v>
      </c>
      <c r="E49" s="75"/>
      <c r="F49" s="75"/>
      <c r="G49" s="77"/>
    </row>
    <row r="50" spans="1:7" ht="17.25" customHeight="1">
      <c r="A50" s="75"/>
      <c r="B50" s="75"/>
      <c r="C50" s="75"/>
      <c r="D50" s="75"/>
      <c r="E50" s="82">
        <f>SUM(D48:D49)</f>
        <v>81582.34999999999</v>
      </c>
      <c r="F50" s="75"/>
      <c r="G50" s="77"/>
    </row>
    <row r="51" spans="1:7" ht="17.25" customHeight="1">
      <c r="A51" s="83"/>
      <c r="B51" s="75"/>
      <c r="C51" s="75"/>
      <c r="D51" s="75"/>
      <c r="E51" s="75"/>
      <c r="F51" s="75"/>
      <c r="G51" s="77"/>
    </row>
    <row r="52" spans="1:7" ht="17.25" customHeight="1">
      <c r="A52" s="83" t="s">
        <v>155</v>
      </c>
      <c r="B52" s="75"/>
      <c r="C52" s="75"/>
      <c r="D52" s="75"/>
      <c r="F52" s="81"/>
      <c r="G52" s="77"/>
    </row>
    <row r="53" spans="1:7" ht="17.25" customHeight="1">
      <c r="A53" s="83"/>
      <c r="B53" s="75" t="s">
        <v>156</v>
      </c>
      <c r="C53" s="75"/>
      <c r="D53" s="79">
        <f>E43</f>
        <v>17717.33</v>
      </c>
      <c r="E53" s="81"/>
      <c r="F53" s="81"/>
      <c r="G53" s="77"/>
    </row>
    <row r="54" spans="1:7" ht="17.25" customHeight="1">
      <c r="A54" s="83"/>
      <c r="B54" s="75"/>
      <c r="C54" s="75"/>
      <c r="D54" s="75"/>
      <c r="E54" s="82">
        <f>D53</f>
        <v>17717.33</v>
      </c>
      <c r="F54" s="81"/>
      <c r="G54" s="77"/>
    </row>
    <row r="55" spans="1:7" ht="17.25" customHeight="1" thickBot="1">
      <c r="A55" s="75"/>
      <c r="B55" s="75"/>
      <c r="C55" s="75"/>
      <c r="D55" s="75"/>
      <c r="E55" s="75"/>
      <c r="F55" s="81"/>
      <c r="G55" s="77"/>
    </row>
    <row r="56" spans="1:7" ht="17.25" customHeight="1" thickBot="1" thickTop="1">
      <c r="A56" s="83" t="s">
        <v>157</v>
      </c>
      <c r="B56" s="75"/>
      <c r="C56" s="75"/>
      <c r="D56" s="75"/>
      <c r="E56" s="75"/>
      <c r="F56" s="89">
        <f>E50+E54</f>
        <v>99299.68</v>
      </c>
      <c r="G56" s="77"/>
    </row>
    <row r="57" ht="13.5" thickTop="1"/>
  </sheetData>
  <mergeCells count="3">
    <mergeCell ref="B31:C31"/>
    <mergeCell ref="B33:C33"/>
    <mergeCell ref="B32:C32"/>
  </mergeCells>
  <printOptions/>
  <pageMargins left="0.75" right="0.5" top="1" bottom="0.6" header="0.3" footer="0.3"/>
  <pageSetup fitToHeight="1" fitToWidth="1" horizontalDpi="400" verticalDpi="400" orientation="portrait" scale="64" r:id="rId2"/>
  <headerFooter alignWithMargins="0">
    <oddHeader>&amp;R&amp;8PDOT Center Code #159 42 518
PDOT Project #37352&amp;S
&amp;SAuditor File #C-10008&amp;S
&amp;SResolution #TBD</oddHeader>
    <oddFooter>&amp;L&amp;"Arial,Italic"&amp;8&amp;F&amp;R&amp;"Arial,Italic"&amp;9&amp;D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24"/>
  <sheetViews>
    <sheetView zoomScale="90" zoomScaleNormal="90" workbookViewId="0" topLeftCell="A1">
      <pane ySplit="13" topLeftCell="BM109" activePane="bottomLeft" state="frozen"/>
      <selection pane="topLeft" activeCell="A1" sqref="A1"/>
      <selection pane="bottomLeft" activeCell="F111" sqref="F111"/>
    </sheetView>
  </sheetViews>
  <sheetFormatPr defaultColWidth="9.140625" defaultRowHeight="12.75"/>
  <cols>
    <col min="1" max="1" width="4.421875" style="0" customWidth="1"/>
    <col min="2" max="2" width="41.57421875" style="0" customWidth="1"/>
    <col min="3" max="3" width="5.00390625" style="0" customWidth="1"/>
    <col min="4" max="4" width="15.7109375" style="0" customWidth="1"/>
    <col min="5" max="5" width="13.7109375" style="0" customWidth="1"/>
    <col min="6" max="6" width="14.7109375" style="0" customWidth="1"/>
    <col min="7" max="7" width="6.8515625" style="0" hidden="1" customWidth="1"/>
    <col min="8" max="8" width="14.8515625" style="0" hidden="1" customWidth="1"/>
    <col min="9" max="11" width="6.7109375" style="0" customWidth="1"/>
    <col min="12" max="12" width="13.00390625" style="0" customWidth="1"/>
    <col min="13" max="13" width="8.140625" style="0" customWidth="1"/>
    <col min="14" max="15" width="6.140625" style="0" customWidth="1"/>
  </cols>
  <sheetData>
    <row r="1" spans="1:15" ht="14.25" customHeight="1">
      <c r="A1" s="24"/>
      <c r="I1" s="63">
        <v>0.085</v>
      </c>
      <c r="J1" t="s">
        <v>114</v>
      </c>
      <c r="N1">
        <v>3</v>
      </c>
      <c r="O1" s="65" t="s">
        <v>128</v>
      </c>
    </row>
    <row r="2" spans="1:15" ht="14.25" customHeight="1">
      <c r="A2" s="7" t="s">
        <v>0</v>
      </c>
      <c r="B2" s="7"/>
      <c r="C2" s="7"/>
      <c r="D2" s="5"/>
      <c r="E2" s="5"/>
      <c r="F2" s="5"/>
      <c r="N2" s="66">
        <v>8</v>
      </c>
      <c r="O2" s="65" t="s">
        <v>127</v>
      </c>
    </row>
    <row r="3" spans="1:14" ht="14.25" customHeight="1">
      <c r="A3" s="7" t="s">
        <v>1</v>
      </c>
      <c r="B3" s="7"/>
      <c r="C3" s="7"/>
      <c r="D3" s="5"/>
      <c r="E3" s="5"/>
      <c r="F3" s="5"/>
      <c r="N3">
        <f>(+N1+N2)/12</f>
        <v>0.9166666666666666</v>
      </c>
    </row>
    <row r="4" spans="1:11" ht="14.25" customHeight="1">
      <c r="A4" s="7" t="s">
        <v>2</v>
      </c>
      <c r="B4" s="7"/>
      <c r="C4" s="7"/>
      <c r="D4" s="5"/>
      <c r="E4" s="5"/>
      <c r="F4" s="5"/>
      <c r="K4" t="s">
        <v>117</v>
      </c>
    </row>
    <row r="5" spans="1:15" ht="14.25" customHeight="1">
      <c r="A5" s="7" t="s">
        <v>105</v>
      </c>
      <c r="B5" s="7"/>
      <c r="C5" s="7"/>
      <c r="D5" s="5"/>
      <c r="E5" s="5"/>
      <c r="F5" s="5"/>
      <c r="M5" s="67" t="s">
        <v>122</v>
      </c>
      <c r="N5" s="68" t="s">
        <v>123</v>
      </c>
      <c r="O5" s="68" t="s">
        <v>130</v>
      </c>
    </row>
    <row r="6" spans="1:15" ht="14.25" customHeight="1">
      <c r="A6" s="11"/>
      <c r="B6" s="11"/>
      <c r="C6" s="11"/>
      <c r="D6" s="5"/>
      <c r="E6" s="5"/>
      <c r="F6" s="5"/>
      <c r="K6" s="49"/>
      <c r="L6" s="49"/>
      <c r="M6" s="49"/>
      <c r="N6" s="49"/>
      <c r="O6" s="49"/>
    </row>
    <row r="7" spans="1:15" ht="14.25" customHeight="1">
      <c r="A7" s="1"/>
      <c r="B7" s="1"/>
      <c r="C7" s="1"/>
      <c r="D7" s="2"/>
      <c r="E7" s="2"/>
      <c r="F7" s="2"/>
      <c r="K7" s="49" t="s">
        <v>108</v>
      </c>
      <c r="L7" s="49"/>
      <c r="M7" s="49">
        <v>0</v>
      </c>
      <c r="N7" s="49">
        <v>170</v>
      </c>
      <c r="O7" s="49">
        <f>+M7+N7</f>
        <v>170</v>
      </c>
    </row>
    <row r="8" spans="1:15" ht="14.25" customHeight="1">
      <c r="A8" s="1"/>
      <c r="B8" s="1"/>
      <c r="C8" s="1"/>
      <c r="D8" s="2"/>
      <c r="E8" s="2"/>
      <c r="F8" s="2"/>
      <c r="K8" s="49" t="s">
        <v>118</v>
      </c>
      <c r="L8" s="49"/>
      <c r="M8" s="49">
        <v>0</v>
      </c>
      <c r="N8" s="49">
        <v>26</v>
      </c>
      <c r="O8" s="49"/>
    </row>
    <row r="9" spans="1:15" ht="14.25" customHeight="1">
      <c r="A9" s="1"/>
      <c r="B9" s="1"/>
      <c r="C9" s="1"/>
      <c r="D9" s="2"/>
      <c r="E9" s="2"/>
      <c r="F9" s="2"/>
      <c r="K9" s="49" t="s">
        <v>119</v>
      </c>
      <c r="L9" s="49"/>
      <c r="M9" s="49">
        <v>0</v>
      </c>
      <c r="N9" s="49">
        <v>9</v>
      </c>
      <c r="O9" s="49"/>
    </row>
    <row r="10" spans="1:15" ht="14.25" customHeight="1">
      <c r="A10" s="1"/>
      <c r="B10" s="1"/>
      <c r="C10" s="1"/>
      <c r="D10" s="2"/>
      <c r="E10" s="2"/>
      <c r="F10" s="2"/>
      <c r="K10" s="49" t="s">
        <v>124</v>
      </c>
      <c r="L10" s="49"/>
      <c r="M10" s="49">
        <v>0</v>
      </c>
      <c r="N10" s="49">
        <v>4</v>
      </c>
      <c r="O10" s="49"/>
    </row>
    <row r="11" spans="1:15" ht="14.25" customHeight="1">
      <c r="A11" s="20" t="s">
        <v>86</v>
      </c>
      <c r="B11" s="21"/>
      <c r="C11" s="21"/>
      <c r="D11" s="22"/>
      <c r="E11" s="22"/>
      <c r="F11" s="23"/>
      <c r="K11" s="49" t="s">
        <v>120</v>
      </c>
      <c r="L11" s="49"/>
      <c r="M11" s="49">
        <v>0</v>
      </c>
      <c r="N11" s="49">
        <v>5</v>
      </c>
      <c r="O11" s="49"/>
    </row>
    <row r="12" spans="1:15" ht="14.25" customHeight="1" thickBot="1">
      <c r="A12" s="13"/>
      <c r="B12" s="13"/>
      <c r="C12" s="42"/>
      <c r="D12" s="15"/>
      <c r="E12" s="15"/>
      <c r="F12" s="15"/>
      <c r="K12" s="49" t="s">
        <v>121</v>
      </c>
      <c r="L12" s="49"/>
      <c r="M12" s="49">
        <v>0</v>
      </c>
      <c r="N12" s="49">
        <v>5</v>
      </c>
      <c r="O12" s="49"/>
    </row>
    <row r="13" spans="1:15" ht="14.25" customHeight="1" thickBot="1" thickTop="1">
      <c r="A13" s="6" t="s">
        <v>3</v>
      </c>
      <c r="B13" s="4" t="s">
        <v>4</v>
      </c>
      <c r="C13" s="12" t="s">
        <v>5</v>
      </c>
      <c r="D13" s="12" t="s">
        <v>6</v>
      </c>
      <c r="E13" s="12" t="s">
        <v>7</v>
      </c>
      <c r="F13" s="12" t="s">
        <v>8</v>
      </c>
      <c r="G13" s="16"/>
      <c r="K13" s="49" t="s">
        <v>129</v>
      </c>
      <c r="L13" s="49"/>
      <c r="M13" s="49">
        <v>0</v>
      </c>
      <c r="N13" s="49">
        <v>0</v>
      </c>
      <c r="O13" s="49">
        <f>+M13+N13</f>
        <v>0</v>
      </c>
    </row>
    <row r="14" spans="1:8" s="49" customFormat="1" ht="13.5" thickTop="1">
      <c r="A14" s="29">
        <v>1</v>
      </c>
      <c r="B14" s="29" t="s">
        <v>94</v>
      </c>
      <c r="C14" s="43" t="s">
        <v>9</v>
      </c>
      <c r="D14" s="44">
        <v>1</v>
      </c>
      <c r="E14" s="46">
        <f>ROUND((SUM(F$16:F$22)+SUM(F$24:F$84))*0.08,-2)</f>
        <v>3000</v>
      </c>
      <c r="F14" s="45">
        <f aca="true" t="shared" si="0" ref="F14:F45">D14*E14</f>
        <v>3000</v>
      </c>
      <c r="G14" s="47" t="str">
        <f aca="true" t="shared" si="1" ref="G14:G33">IF(C14="mg","ton",IF(C14="kl","kgal",IF(C14="m3","cy",IF(C14="m2","sy",IF(C14="m","lf",IF(C14="m3","cy",C14))))))</f>
        <v>ls</v>
      </c>
      <c r="H14" s="48">
        <f aca="true" t="shared" si="2" ref="H14:H33">IF(C14="mg",E14*0.9071847,IF(C14="kl",E14*3.785412,IF(C14="m3",E14*0.7645549,IF(C14="M2",E14*0.8361274,IF(C14="m",E14*0.3048,E14)))))</f>
        <v>3000</v>
      </c>
    </row>
    <row r="15" spans="1:15" s="49" customFormat="1" ht="12.75">
      <c r="A15" s="29">
        <f aca="true" t="shared" si="3" ref="A15:A46">A14+1</f>
        <v>2</v>
      </c>
      <c r="B15" s="29" t="s">
        <v>115</v>
      </c>
      <c r="C15" s="43" t="s">
        <v>9</v>
      </c>
      <c r="D15" s="44">
        <v>1</v>
      </c>
      <c r="E15" s="46">
        <f>ROUND((SUM(F$16:F$22)+SUM(F$24:F$84))*0.01,-2)</f>
        <v>400</v>
      </c>
      <c r="F15" s="45">
        <f t="shared" si="0"/>
        <v>400</v>
      </c>
      <c r="G15" s="47" t="str">
        <f t="shared" si="1"/>
        <v>ls</v>
      </c>
      <c r="H15" s="48">
        <f t="shared" si="2"/>
        <v>400</v>
      </c>
      <c r="K15" t="s">
        <v>125</v>
      </c>
      <c r="L15"/>
      <c r="M15">
        <v>7952</v>
      </c>
      <c r="N15"/>
      <c r="O15"/>
    </row>
    <row r="16" spans="1:15" s="49" customFormat="1" ht="12.75">
      <c r="A16" s="29">
        <f t="shared" si="3"/>
        <v>3</v>
      </c>
      <c r="B16" s="29" t="s">
        <v>15</v>
      </c>
      <c r="C16" s="43" t="s">
        <v>65</v>
      </c>
      <c r="D16" s="44">
        <f>ROUND(+'[3]Lents III A&amp;B (26'' &amp; trenches)'!D16*'Lents III-east 170'' of Ellis'!$M$16,0)</f>
        <v>2</v>
      </c>
      <c r="E16" s="45">
        <f>ROUND(107.85*(1+$I$1),0)</f>
        <v>117</v>
      </c>
      <c r="F16" s="45">
        <f t="shared" si="0"/>
        <v>234</v>
      </c>
      <c r="G16" s="47" t="str">
        <f t="shared" si="1"/>
        <v>sy</v>
      </c>
      <c r="H16" s="48">
        <f t="shared" si="2"/>
        <v>117</v>
      </c>
      <c r="K16"/>
      <c r="L16"/>
      <c r="M16" s="64">
        <f>2*(M7+N7)/M15</f>
        <v>0.04275653923541248</v>
      </c>
      <c r="N16" s="65" t="s">
        <v>126</v>
      </c>
      <c r="O16"/>
    </row>
    <row r="17" spans="1:8" s="49" customFormat="1" ht="12.75">
      <c r="A17" s="29">
        <f t="shared" si="3"/>
        <v>4</v>
      </c>
      <c r="B17" s="29" t="s">
        <v>16</v>
      </c>
      <c r="C17" s="43" t="s">
        <v>11</v>
      </c>
      <c r="D17" s="44">
        <f>ROUND(+'[3]Lents III A&amp;B (26'' &amp; trenches)'!D17*'Lents III-east 170'' of Ellis'!$M$16,0)</f>
        <v>1</v>
      </c>
      <c r="E17" s="45">
        <f>ROUND(92*(1+$I$1),0)</f>
        <v>100</v>
      </c>
      <c r="F17" s="45">
        <f t="shared" si="0"/>
        <v>100</v>
      </c>
      <c r="G17" s="47" t="str">
        <f t="shared" si="1"/>
        <v>ea</v>
      </c>
      <c r="H17" s="48">
        <f t="shared" si="2"/>
        <v>100</v>
      </c>
    </row>
    <row r="18" spans="1:8" s="49" customFormat="1" ht="12.75">
      <c r="A18" s="29">
        <f t="shared" si="3"/>
        <v>5</v>
      </c>
      <c r="B18" s="29" t="s">
        <v>17</v>
      </c>
      <c r="C18" s="43" t="s">
        <v>12</v>
      </c>
      <c r="D18" s="44">
        <f>ROUND(+'[3]Lents III A&amp;B (26'' &amp; trenches)'!D18*'Lents III-east 170'' of Ellis'!$M$16,0)</f>
        <v>9</v>
      </c>
      <c r="E18" s="45">
        <f>ROUND(38*(1+inflation_rate),0)</f>
        <v>41</v>
      </c>
      <c r="F18" s="45">
        <f t="shared" si="0"/>
        <v>369</v>
      </c>
      <c r="G18" s="47" t="str">
        <f t="shared" si="1"/>
        <v>hr</v>
      </c>
      <c r="H18" s="48">
        <f t="shared" si="2"/>
        <v>41</v>
      </c>
    </row>
    <row r="19" spans="1:8" s="49" customFormat="1" ht="12.75">
      <c r="A19" s="29">
        <f t="shared" si="3"/>
        <v>6</v>
      </c>
      <c r="B19" s="29" t="s">
        <v>99</v>
      </c>
      <c r="C19" s="43" t="s">
        <v>9</v>
      </c>
      <c r="D19" s="44">
        <f>ROUND(+'[3]Lents III A&amp;B (26'' &amp; trenches)'!D19*'Lents III-east 170'' of Ellis'!$M$16,0)</f>
        <v>0</v>
      </c>
      <c r="E19" s="45">
        <v>200</v>
      </c>
      <c r="F19" s="45">
        <f t="shared" si="0"/>
        <v>0</v>
      </c>
      <c r="G19" s="47" t="str">
        <f t="shared" si="1"/>
        <v>ls</v>
      </c>
      <c r="H19" s="48">
        <f t="shared" si="2"/>
        <v>200</v>
      </c>
    </row>
    <row r="20" spans="1:8" s="49" customFormat="1" ht="12.75">
      <c r="A20" s="29">
        <f t="shared" si="3"/>
        <v>7</v>
      </c>
      <c r="B20" s="29" t="s">
        <v>18</v>
      </c>
      <c r="C20" s="43" t="s">
        <v>66</v>
      </c>
      <c r="D20" s="44">
        <v>0</v>
      </c>
      <c r="E20" s="45">
        <f>ROUND(7.2*(1+inflation_rate),1)</f>
        <v>7.8</v>
      </c>
      <c r="F20" s="45">
        <f t="shared" si="0"/>
        <v>0</v>
      </c>
      <c r="G20" s="47" t="str">
        <f t="shared" si="1"/>
        <v>lf</v>
      </c>
      <c r="H20" s="48">
        <f t="shared" si="2"/>
        <v>7.8</v>
      </c>
    </row>
    <row r="21" spans="1:8" s="49" customFormat="1" ht="12.75">
      <c r="A21" s="29">
        <f t="shared" si="3"/>
        <v>8</v>
      </c>
      <c r="B21" s="29" t="s">
        <v>40</v>
      </c>
      <c r="C21" s="43" t="s">
        <v>66</v>
      </c>
      <c r="D21" s="44">
        <f>2*O7</f>
        <v>340</v>
      </c>
      <c r="E21" s="45">
        <f>ROUND(3*(1+inflation_rate),1)</f>
        <v>3.3</v>
      </c>
      <c r="F21" s="45">
        <f t="shared" si="0"/>
        <v>1122</v>
      </c>
      <c r="G21" s="47" t="str">
        <f t="shared" si="1"/>
        <v>lf</v>
      </c>
      <c r="H21" s="48">
        <f t="shared" si="2"/>
        <v>3.3</v>
      </c>
    </row>
    <row r="22" spans="1:8" s="49" customFormat="1" ht="12.75">
      <c r="A22" s="29">
        <f t="shared" si="3"/>
        <v>9</v>
      </c>
      <c r="B22" s="29" t="s">
        <v>19</v>
      </c>
      <c r="C22" s="43" t="s">
        <v>11</v>
      </c>
      <c r="D22" s="44">
        <v>0</v>
      </c>
      <c r="E22" s="45">
        <f>1000*(1+inflation_rate)</f>
        <v>1085</v>
      </c>
      <c r="F22" s="45">
        <f t="shared" si="0"/>
        <v>0</v>
      </c>
      <c r="G22" s="47" t="str">
        <f t="shared" si="1"/>
        <v>ea</v>
      </c>
      <c r="H22" s="48">
        <f t="shared" si="2"/>
        <v>1085</v>
      </c>
    </row>
    <row r="23" spans="1:8" s="49" customFormat="1" ht="12.75">
      <c r="A23" s="29">
        <f t="shared" si="3"/>
        <v>10</v>
      </c>
      <c r="B23" s="29" t="s">
        <v>116</v>
      </c>
      <c r="C23" s="43" t="s">
        <v>9</v>
      </c>
      <c r="D23" s="44">
        <v>1</v>
      </c>
      <c r="E23" s="46">
        <f>ROUND((SUM(F$16:F$22)+SUM(F$24:F$84))*0.01,-2)</f>
        <v>400</v>
      </c>
      <c r="F23" s="45">
        <f t="shared" si="0"/>
        <v>400</v>
      </c>
      <c r="G23" s="47" t="str">
        <f t="shared" si="1"/>
        <v>ls</v>
      </c>
      <c r="H23" s="48">
        <f t="shared" si="2"/>
        <v>400</v>
      </c>
    </row>
    <row r="24" spans="1:8" s="49" customFormat="1" ht="12.75">
      <c r="A24" s="29">
        <f t="shared" si="3"/>
        <v>11</v>
      </c>
      <c r="B24" s="29" t="s">
        <v>62</v>
      </c>
      <c r="C24" s="43" t="s">
        <v>67</v>
      </c>
      <c r="D24" s="44">
        <v>0</v>
      </c>
      <c r="E24" s="45">
        <f>ROUND(30*(1+inflation_rate),1)</f>
        <v>32.6</v>
      </c>
      <c r="F24" s="45">
        <f t="shared" si="0"/>
        <v>0</v>
      </c>
      <c r="G24" s="47" t="str">
        <f t="shared" si="1"/>
        <v>cy</v>
      </c>
      <c r="H24" s="48">
        <f t="shared" si="2"/>
        <v>32.6</v>
      </c>
    </row>
    <row r="25" spans="1:8" s="49" customFormat="1" ht="12.75">
      <c r="A25" s="29">
        <f t="shared" si="3"/>
        <v>12</v>
      </c>
      <c r="B25" s="29" t="s">
        <v>63</v>
      </c>
      <c r="C25" s="43" t="s">
        <v>66</v>
      </c>
      <c r="D25" s="44">
        <v>0</v>
      </c>
      <c r="E25" s="45">
        <f>ROUND(4*(1+inflation_rate),1)</f>
        <v>4.3</v>
      </c>
      <c r="F25" s="45">
        <f t="shared" si="0"/>
        <v>0</v>
      </c>
      <c r="G25" s="47" t="str">
        <f t="shared" si="1"/>
        <v>lf</v>
      </c>
      <c r="H25" s="48">
        <f t="shared" si="2"/>
        <v>4.3</v>
      </c>
    </row>
    <row r="26" spans="1:8" s="49" customFormat="1" ht="12.75">
      <c r="A26" s="29">
        <f t="shared" si="3"/>
        <v>13</v>
      </c>
      <c r="B26" s="29" t="s">
        <v>64</v>
      </c>
      <c r="C26" s="43" t="s">
        <v>66</v>
      </c>
      <c r="D26" s="44">
        <v>0</v>
      </c>
      <c r="E26" s="45">
        <f>ROUND(1.8*(1+inflation_rate),1)</f>
        <v>2</v>
      </c>
      <c r="F26" s="45">
        <f t="shared" si="0"/>
        <v>0</v>
      </c>
      <c r="G26" s="47" t="str">
        <f t="shared" si="1"/>
        <v>lf</v>
      </c>
      <c r="H26" s="48">
        <f t="shared" si="2"/>
        <v>2</v>
      </c>
    </row>
    <row r="27" spans="1:8" s="49" customFormat="1" ht="12.75">
      <c r="A27" s="29">
        <f t="shared" si="3"/>
        <v>14</v>
      </c>
      <c r="B27" s="29" t="s">
        <v>10</v>
      </c>
      <c r="C27" s="43" t="s">
        <v>9</v>
      </c>
      <c r="D27" s="44">
        <v>1</v>
      </c>
      <c r="E27" s="46">
        <f>9*2*O7</f>
        <v>3060</v>
      </c>
      <c r="F27" s="45">
        <f t="shared" si="0"/>
        <v>3060</v>
      </c>
      <c r="G27" s="47" t="str">
        <f t="shared" si="1"/>
        <v>ls</v>
      </c>
      <c r="H27" s="48">
        <f t="shared" si="2"/>
        <v>3060</v>
      </c>
    </row>
    <row r="28" spans="1:8" s="49" customFormat="1" ht="12.75">
      <c r="A28" s="29">
        <f t="shared" si="3"/>
        <v>15</v>
      </c>
      <c r="B28" s="29" t="s">
        <v>73</v>
      </c>
      <c r="C28" s="43" t="s">
        <v>11</v>
      </c>
      <c r="D28" s="44">
        <v>0</v>
      </c>
      <c r="E28" s="45">
        <f>ROUND(200*(1+inflation_rate),0)</f>
        <v>217</v>
      </c>
      <c r="F28" s="45">
        <f t="shared" si="0"/>
        <v>0</v>
      </c>
      <c r="G28" s="47" t="str">
        <f t="shared" si="1"/>
        <v>ea</v>
      </c>
      <c r="H28" s="48">
        <f t="shared" si="2"/>
        <v>217</v>
      </c>
    </row>
    <row r="29" spans="1:8" s="49" customFormat="1" ht="12.75">
      <c r="A29" s="29">
        <f t="shared" si="3"/>
        <v>16</v>
      </c>
      <c r="B29" s="29" t="s">
        <v>74</v>
      </c>
      <c r="C29" s="43" t="s">
        <v>11</v>
      </c>
      <c r="D29" s="44">
        <v>1</v>
      </c>
      <c r="E29" s="45">
        <f>ROUND(460*(1+inflation_rate),0)</f>
        <v>499</v>
      </c>
      <c r="F29" s="45">
        <f t="shared" si="0"/>
        <v>499</v>
      </c>
      <c r="G29" s="47" t="str">
        <f t="shared" si="1"/>
        <v>ea</v>
      </c>
      <c r="H29" s="48">
        <f t="shared" si="2"/>
        <v>499</v>
      </c>
    </row>
    <row r="30" spans="1:8" s="49" customFormat="1" ht="12.75">
      <c r="A30" s="29">
        <f t="shared" si="3"/>
        <v>17</v>
      </c>
      <c r="B30" s="29" t="s">
        <v>75</v>
      </c>
      <c r="C30" s="43" t="s">
        <v>11</v>
      </c>
      <c r="D30" s="44">
        <v>1</v>
      </c>
      <c r="E30" s="45">
        <f>ROUND(600*(1+inflation_rate),1)</f>
        <v>651</v>
      </c>
      <c r="F30" s="45">
        <f t="shared" si="0"/>
        <v>651</v>
      </c>
      <c r="G30" s="47" t="str">
        <f t="shared" si="1"/>
        <v>ea</v>
      </c>
      <c r="H30" s="48">
        <f t="shared" si="2"/>
        <v>651</v>
      </c>
    </row>
    <row r="31" spans="1:8" s="49" customFormat="1" ht="12.75">
      <c r="A31" s="29">
        <f t="shared" si="3"/>
        <v>18</v>
      </c>
      <c r="B31" s="29" t="s">
        <v>47</v>
      </c>
      <c r="C31" s="43" t="s">
        <v>12</v>
      </c>
      <c r="D31" s="44">
        <v>3</v>
      </c>
      <c r="E31" s="45">
        <f>ROUND(125*(1+inflation_rate),0)</f>
        <v>136</v>
      </c>
      <c r="F31" s="45">
        <f t="shared" si="0"/>
        <v>408</v>
      </c>
      <c r="G31" s="47" t="str">
        <f t="shared" si="1"/>
        <v>hr</v>
      </c>
      <c r="H31" s="48">
        <f t="shared" si="2"/>
        <v>136</v>
      </c>
    </row>
    <row r="32" spans="1:8" s="49" customFormat="1" ht="12.75">
      <c r="A32" s="29">
        <f t="shared" si="3"/>
        <v>19</v>
      </c>
      <c r="B32" s="29" t="s">
        <v>35</v>
      </c>
      <c r="C32" s="43" t="s">
        <v>67</v>
      </c>
      <c r="D32" s="44">
        <v>0</v>
      </c>
      <c r="E32" s="45">
        <f>ROUND(8*(1+inflation_rate),1)</f>
        <v>8.7</v>
      </c>
      <c r="F32" s="45">
        <f t="shared" si="0"/>
        <v>0</v>
      </c>
      <c r="G32" s="47" t="str">
        <f t="shared" si="1"/>
        <v>cy</v>
      </c>
      <c r="H32" s="48">
        <f t="shared" si="2"/>
        <v>8.7</v>
      </c>
    </row>
    <row r="33" spans="1:8" s="49" customFormat="1" ht="12.75">
      <c r="A33" s="29">
        <f t="shared" si="3"/>
        <v>20</v>
      </c>
      <c r="B33" s="29" t="s">
        <v>20</v>
      </c>
      <c r="C33" s="43" t="s">
        <v>67</v>
      </c>
      <c r="D33" s="44">
        <f>ROUND(((O7*((M8+N8)/2+1))*N3+((50-1-(M8+N8)/2)*O7*0.5))/27,0)</f>
        <v>194</v>
      </c>
      <c r="E33" s="45">
        <f>ROUND(18.45*(1+inflation_rate),1)</f>
        <v>20</v>
      </c>
      <c r="F33" s="45">
        <f t="shared" si="0"/>
        <v>3880</v>
      </c>
      <c r="G33" s="47" t="str">
        <f t="shared" si="1"/>
        <v>cy</v>
      </c>
      <c r="H33" s="48">
        <f t="shared" si="2"/>
        <v>20</v>
      </c>
    </row>
    <row r="34" spans="1:8" s="49" customFormat="1" ht="12.75">
      <c r="A34" s="29">
        <f t="shared" si="3"/>
        <v>21</v>
      </c>
      <c r="B34" s="29" t="s">
        <v>112</v>
      </c>
      <c r="C34" s="43" t="s">
        <v>67</v>
      </c>
      <c r="D34" s="44">
        <f>ROUND(I39*J39*K39/27,0)</f>
        <v>63</v>
      </c>
      <c r="E34" s="45">
        <v>25</v>
      </c>
      <c r="F34" s="45">
        <f t="shared" si="0"/>
        <v>1575</v>
      </c>
      <c r="G34" s="47"/>
      <c r="H34" s="48"/>
    </row>
    <row r="35" spans="1:8" s="49" customFormat="1" ht="12.75">
      <c r="A35" s="29">
        <f t="shared" si="3"/>
        <v>22</v>
      </c>
      <c r="B35" s="29" t="s">
        <v>21</v>
      </c>
      <c r="C35" s="43" t="s">
        <v>67</v>
      </c>
      <c r="D35" s="44">
        <f>ROUND(O7*3*0.5/27,0)</f>
        <v>9</v>
      </c>
      <c r="E35" s="45">
        <f>ROUND(8.4*(1+inflation_rate),1)</f>
        <v>9.1</v>
      </c>
      <c r="F35" s="45">
        <f t="shared" si="0"/>
        <v>81.89999999999999</v>
      </c>
      <c r="G35" s="47" t="str">
        <f>IF(C35="mg","ton",IF(C35="kl","kgal",IF(C35="m3","cy",IF(C35="m2","sy",IF(C35="m","lf",IF(C35="m3","cy",C35))))))</f>
        <v>cy</v>
      </c>
      <c r="H35" s="48">
        <f>IF(C35="mg",E35*0.9071847,IF(C35="kl",E35*3.785412,IF(C35="m3",E35*0.7645549,IF(C35="M2",E35*0.8361274,IF(C35="m",E35*0.3048,E35)))))</f>
        <v>9.1</v>
      </c>
    </row>
    <row r="36" spans="1:8" s="49" customFormat="1" ht="12.75">
      <c r="A36" s="29">
        <f t="shared" si="3"/>
        <v>23</v>
      </c>
      <c r="B36" s="29" t="s">
        <v>111</v>
      </c>
      <c r="C36" s="43" t="s">
        <v>67</v>
      </c>
      <c r="D36" s="44">
        <f>ROUND(2*I39*J39*K39/27,0)</f>
        <v>126</v>
      </c>
      <c r="E36" s="45">
        <v>10</v>
      </c>
      <c r="F36" s="45">
        <f t="shared" si="0"/>
        <v>1260</v>
      </c>
      <c r="G36" s="47"/>
      <c r="H36" s="48"/>
    </row>
    <row r="37" spans="1:8" s="49" customFormat="1" ht="12.75">
      <c r="A37" s="29">
        <f t="shared" si="3"/>
        <v>24</v>
      </c>
      <c r="B37" s="29" t="s">
        <v>72</v>
      </c>
      <c r="C37" s="43" t="s">
        <v>65</v>
      </c>
      <c r="D37" s="44">
        <f>ROUND(0.2*D51,0)</f>
        <v>98</v>
      </c>
      <c r="E37" s="45">
        <f>ROUND(7.2*(1+inflation_rate),1)</f>
        <v>7.8</v>
      </c>
      <c r="F37" s="45">
        <f t="shared" si="0"/>
        <v>764.4</v>
      </c>
      <c r="G37" s="47" t="str">
        <f>IF(C37="mg","ton",IF(C37="kl","kgal",IF(C37="m3","cy",IF(C37="m2","sy",IF(C37="m","lf",IF(C37="m3","cy",C37))))))</f>
        <v>sy</v>
      </c>
      <c r="H37" s="48">
        <f>IF(C37="mg",E37*0.9071847,IF(C37="kl",E37*3.785412,IF(C37="m3",E37*0.7645549,IF(C37="M2",E37*0.8361274,IF(C37="m",E37*0.3048,E37)))))</f>
        <v>7.8</v>
      </c>
    </row>
    <row r="38" spans="1:11" s="49" customFormat="1" ht="12.75">
      <c r="A38" s="29">
        <f t="shared" si="3"/>
        <v>25</v>
      </c>
      <c r="B38" s="29" t="s">
        <v>22</v>
      </c>
      <c r="C38" s="43" t="s">
        <v>68</v>
      </c>
      <c r="D38" s="44">
        <v>0</v>
      </c>
      <c r="E38" s="45">
        <f>ROUND(44.1*1.158,0)</f>
        <v>51</v>
      </c>
      <c r="F38" s="45">
        <f t="shared" si="0"/>
        <v>0</v>
      </c>
      <c r="G38" s="47" t="str">
        <f>IF(C38="mg","ton",IF(C38="kl","kgal",IF(C38="m3","cy",IF(C38="m2","sy",IF(C38="m","lf",IF(C38="m3","cy",C38))))))</f>
        <v>kgal</v>
      </c>
      <c r="H38" s="48">
        <f>IF(C38="mg",E38*0.9071847,IF(C38="kl",E38*3.785412,IF(C38="m3",E38*0.7645549,IF(C38="M2",E38*0.8361274,IF(C38="m",E38*0.3048,E38)))))</f>
        <v>51</v>
      </c>
      <c r="I38" s="49" t="s">
        <v>108</v>
      </c>
      <c r="J38" s="49" t="s">
        <v>109</v>
      </c>
      <c r="K38" s="49" t="s">
        <v>110</v>
      </c>
    </row>
    <row r="39" spans="1:11" s="49" customFormat="1" ht="12.75">
      <c r="A39" s="29">
        <f t="shared" si="3"/>
        <v>26</v>
      </c>
      <c r="B39" s="29" t="s">
        <v>107</v>
      </c>
      <c r="C39" s="43" t="s">
        <v>65</v>
      </c>
      <c r="D39" s="44">
        <f>ROUND((2.5*J39+2*K39)*2*I39/9,0)</f>
        <v>538</v>
      </c>
      <c r="E39" s="45">
        <v>1.5</v>
      </c>
      <c r="F39" s="45">
        <f t="shared" si="0"/>
        <v>807</v>
      </c>
      <c r="G39" s="47"/>
      <c r="H39" s="48"/>
      <c r="I39" s="49">
        <f>SUM(M7:N7)</f>
        <v>170</v>
      </c>
      <c r="J39" s="49">
        <v>2.5</v>
      </c>
      <c r="K39" s="49">
        <v>4</v>
      </c>
    </row>
    <row r="40" spans="1:8" s="49" customFormat="1" ht="12.75">
      <c r="A40" s="29">
        <f t="shared" si="3"/>
        <v>27</v>
      </c>
      <c r="B40" s="29" t="s">
        <v>23</v>
      </c>
      <c r="C40" s="43" t="s">
        <v>65</v>
      </c>
      <c r="D40" s="44">
        <f>D37</f>
        <v>98</v>
      </c>
      <c r="E40" s="45">
        <f>ROUND(1*(1+inflation_rate),1)</f>
        <v>1.1</v>
      </c>
      <c r="F40" s="45">
        <f t="shared" si="0"/>
        <v>107.80000000000001</v>
      </c>
      <c r="G40" s="47" t="str">
        <f aca="true" t="shared" si="4" ref="G40:G84">IF(C40="mg","ton",IF(C40="kl","kgal",IF(C40="m3","cy",IF(C40="m2","sy",IF(C40="m","lf",IF(C40="m3","cy",C40))))))</f>
        <v>sy</v>
      </c>
      <c r="H40" s="48">
        <f aca="true" t="shared" si="5" ref="H40:H84">IF(C40="mg",E40*0.9071847,IF(C40="kl",E40*3.785412,IF(C40="m3",E40*0.7645549,IF(C40="M2",E40*0.8361274,IF(C40="m",E40*0.3048,E40)))))</f>
        <v>1.1</v>
      </c>
    </row>
    <row r="41" spans="1:8" s="49" customFormat="1" ht="12.75">
      <c r="A41" s="29">
        <f t="shared" si="3"/>
        <v>28</v>
      </c>
      <c r="B41" s="29" t="s">
        <v>70</v>
      </c>
      <c r="C41" s="43" t="s">
        <v>66</v>
      </c>
      <c r="D41" s="44">
        <v>0</v>
      </c>
      <c r="E41" s="45">
        <f>ROUND(17*(1+inflation_rate),1)</f>
        <v>18.4</v>
      </c>
      <c r="F41" s="45">
        <f t="shared" si="0"/>
        <v>0</v>
      </c>
      <c r="G41" s="47" t="str">
        <f t="shared" si="4"/>
        <v>lf</v>
      </c>
      <c r="H41" s="48">
        <f t="shared" si="5"/>
        <v>18.4</v>
      </c>
    </row>
    <row r="42" spans="1:8" s="49" customFormat="1" ht="12.75">
      <c r="A42" s="29">
        <f t="shared" si="3"/>
        <v>29</v>
      </c>
      <c r="B42" s="29" t="s">
        <v>71</v>
      </c>
      <c r="C42" s="43" t="s">
        <v>66</v>
      </c>
      <c r="D42" s="44">
        <v>0</v>
      </c>
      <c r="E42" s="45">
        <f>ROUND(68*(1+inflation_rate),0)</f>
        <v>74</v>
      </c>
      <c r="F42" s="45">
        <f t="shared" si="0"/>
        <v>0</v>
      </c>
      <c r="G42" s="47" t="str">
        <f t="shared" si="4"/>
        <v>lf</v>
      </c>
      <c r="H42" s="48">
        <f t="shared" si="5"/>
        <v>74</v>
      </c>
    </row>
    <row r="43" spans="1:8" s="49" customFormat="1" ht="12.75">
      <c r="A43" s="29">
        <f t="shared" si="3"/>
        <v>30</v>
      </c>
      <c r="B43" s="29" t="s">
        <v>24</v>
      </c>
      <c r="C43" s="43" t="s">
        <v>66</v>
      </c>
      <c r="D43" s="44">
        <v>0</v>
      </c>
      <c r="E43" s="45">
        <f>ROUND(16*(1+inflation_rate),1)</f>
        <v>17.4</v>
      </c>
      <c r="F43" s="45">
        <f t="shared" si="0"/>
        <v>0</v>
      </c>
      <c r="G43" s="47" t="str">
        <f t="shared" si="4"/>
        <v>lf</v>
      </c>
      <c r="H43" s="48">
        <f t="shared" si="5"/>
        <v>17.4</v>
      </c>
    </row>
    <row r="44" spans="1:8" s="49" customFormat="1" ht="12.75">
      <c r="A44" s="29">
        <f t="shared" si="3"/>
        <v>31</v>
      </c>
      <c r="B44" s="29" t="s">
        <v>25</v>
      </c>
      <c r="C44" s="43" t="s">
        <v>11</v>
      </c>
      <c r="D44" s="44">
        <v>0</v>
      </c>
      <c r="E44" s="45">
        <f>ROUND(1000*(1+inflation_rate),0)</f>
        <v>1085</v>
      </c>
      <c r="F44" s="45">
        <f t="shared" si="0"/>
        <v>0</v>
      </c>
      <c r="G44" s="47" t="str">
        <f t="shared" si="4"/>
        <v>ea</v>
      </c>
      <c r="H44" s="48">
        <f t="shared" si="5"/>
        <v>1085</v>
      </c>
    </row>
    <row r="45" spans="1:8" s="49" customFormat="1" ht="12.75">
      <c r="A45" s="29">
        <f t="shared" si="3"/>
        <v>32</v>
      </c>
      <c r="B45" s="29" t="s">
        <v>26</v>
      </c>
      <c r="C45" s="43" t="s">
        <v>11</v>
      </c>
      <c r="D45" s="44">
        <v>0</v>
      </c>
      <c r="E45" s="45">
        <f>ROUND(1100*(1+inflation_rate),-1)</f>
        <v>1190</v>
      </c>
      <c r="F45" s="45">
        <f t="shared" si="0"/>
        <v>0</v>
      </c>
      <c r="G45" s="47" t="str">
        <f t="shared" si="4"/>
        <v>ea</v>
      </c>
      <c r="H45" s="48">
        <f t="shared" si="5"/>
        <v>1190</v>
      </c>
    </row>
    <row r="46" spans="1:8" s="49" customFormat="1" ht="12.75">
      <c r="A46" s="29">
        <f t="shared" si="3"/>
        <v>33</v>
      </c>
      <c r="B46" s="29" t="s">
        <v>27</v>
      </c>
      <c r="C46" s="43" t="s">
        <v>11</v>
      </c>
      <c r="D46" s="44">
        <v>0</v>
      </c>
      <c r="E46" s="45">
        <f>ROUND(1050*(1+inflation_rate),-1)</f>
        <v>1140</v>
      </c>
      <c r="F46" s="45">
        <f aca="true" t="shared" si="6" ref="F46:F77">D46*E46</f>
        <v>0</v>
      </c>
      <c r="G46" s="47" t="str">
        <f t="shared" si="4"/>
        <v>ea</v>
      </c>
      <c r="H46" s="48">
        <f t="shared" si="5"/>
        <v>1140</v>
      </c>
    </row>
    <row r="47" spans="1:8" s="49" customFormat="1" ht="12.75">
      <c r="A47" s="29">
        <f aca="true" t="shared" si="7" ref="A47:A78">A46+1</f>
        <v>34</v>
      </c>
      <c r="B47" s="29" t="s">
        <v>79</v>
      </c>
      <c r="C47" s="43" t="s">
        <v>11</v>
      </c>
      <c r="D47" s="44">
        <v>0</v>
      </c>
      <c r="E47" s="45">
        <f>ROUND(240*(1+inflation_rate),0)</f>
        <v>260</v>
      </c>
      <c r="F47" s="45">
        <f t="shared" si="6"/>
        <v>0</v>
      </c>
      <c r="G47" s="47" t="str">
        <f t="shared" si="4"/>
        <v>ea</v>
      </c>
      <c r="H47" s="48">
        <f t="shared" si="5"/>
        <v>260</v>
      </c>
    </row>
    <row r="48" spans="1:8" s="49" customFormat="1" ht="12.75">
      <c r="A48" s="29">
        <f t="shared" si="7"/>
        <v>35</v>
      </c>
      <c r="B48" s="29" t="s">
        <v>80</v>
      </c>
      <c r="C48" s="43" t="s">
        <v>11</v>
      </c>
      <c r="D48" s="44">
        <v>0</v>
      </c>
      <c r="E48" s="45">
        <f>ROUND(900*(1+inflation_rate),-1)</f>
        <v>980</v>
      </c>
      <c r="F48" s="45">
        <f t="shared" si="6"/>
        <v>0</v>
      </c>
      <c r="G48" s="47" t="str">
        <f t="shared" si="4"/>
        <v>ea</v>
      </c>
      <c r="H48" s="48">
        <f t="shared" si="5"/>
        <v>980</v>
      </c>
    </row>
    <row r="49" spans="1:8" s="49" customFormat="1" ht="12.75">
      <c r="A49" s="29">
        <f t="shared" si="7"/>
        <v>36</v>
      </c>
      <c r="B49" s="29" t="s">
        <v>81</v>
      </c>
      <c r="C49" s="43" t="s">
        <v>11</v>
      </c>
      <c r="D49" s="44">
        <v>0</v>
      </c>
      <c r="E49" s="45">
        <f>ROUND(250*(1+inflation_rate),0)</f>
        <v>271</v>
      </c>
      <c r="F49" s="45">
        <f t="shared" si="6"/>
        <v>0</v>
      </c>
      <c r="G49" s="47" t="str">
        <f t="shared" si="4"/>
        <v>ea</v>
      </c>
      <c r="H49" s="48">
        <f t="shared" si="5"/>
        <v>271</v>
      </c>
    </row>
    <row r="50" spans="1:8" s="49" customFormat="1" ht="12.75">
      <c r="A50" s="29">
        <f t="shared" si="7"/>
        <v>37</v>
      </c>
      <c r="B50" s="29" t="s">
        <v>82</v>
      </c>
      <c r="C50" s="43" t="s">
        <v>11</v>
      </c>
      <c r="D50" s="44">
        <v>0</v>
      </c>
      <c r="E50" s="45">
        <f>ROUND(215*(1+inflation_rate),0)</f>
        <v>233</v>
      </c>
      <c r="F50" s="45">
        <f t="shared" si="6"/>
        <v>0</v>
      </c>
      <c r="G50" s="47" t="str">
        <f t="shared" si="4"/>
        <v>ea</v>
      </c>
      <c r="H50" s="48">
        <f t="shared" si="5"/>
        <v>233</v>
      </c>
    </row>
    <row r="51" spans="1:8" s="49" customFormat="1" ht="12.75">
      <c r="A51" s="29">
        <f t="shared" si="7"/>
        <v>38</v>
      </c>
      <c r="B51" s="29" t="s">
        <v>106</v>
      </c>
      <c r="C51" s="43" t="s">
        <v>65</v>
      </c>
      <c r="D51" s="44">
        <f>ROUND(((+M7*M8)+(N7*N8))/9,0)</f>
        <v>491</v>
      </c>
      <c r="E51" s="45">
        <f>ROUND(7*(1+inflation_rate),1)</f>
        <v>7.6</v>
      </c>
      <c r="F51" s="45">
        <f t="shared" si="6"/>
        <v>3731.6</v>
      </c>
      <c r="G51" s="47" t="str">
        <f t="shared" si="4"/>
        <v>sy</v>
      </c>
      <c r="H51" s="48">
        <f t="shared" si="5"/>
        <v>7.6</v>
      </c>
    </row>
    <row r="52" spans="1:8" s="49" customFormat="1" ht="12.75">
      <c r="A52" s="29">
        <f t="shared" si="7"/>
        <v>39</v>
      </c>
      <c r="B52" s="29" t="s">
        <v>49</v>
      </c>
      <c r="C52" s="43" t="s">
        <v>65</v>
      </c>
      <c r="D52" s="44">
        <v>0</v>
      </c>
      <c r="E52" s="45">
        <f>ROUND(12.5*(1+inflation_rate),1)</f>
        <v>13.6</v>
      </c>
      <c r="F52" s="45">
        <f t="shared" si="6"/>
        <v>0</v>
      </c>
      <c r="G52" s="47" t="str">
        <f t="shared" si="4"/>
        <v>sy</v>
      </c>
      <c r="H52" s="48">
        <f t="shared" si="5"/>
        <v>13.6</v>
      </c>
    </row>
    <row r="53" spans="1:8" s="49" customFormat="1" ht="12.75">
      <c r="A53" s="29">
        <f t="shared" si="7"/>
        <v>40</v>
      </c>
      <c r="B53" s="29" t="s">
        <v>95</v>
      </c>
      <c r="C53" s="43" t="s">
        <v>96</v>
      </c>
      <c r="D53" s="44">
        <v>0</v>
      </c>
      <c r="E53" s="45">
        <v>4.75</v>
      </c>
      <c r="F53" s="45">
        <f t="shared" si="6"/>
        <v>0</v>
      </c>
      <c r="G53" s="47" t="str">
        <f t="shared" si="4"/>
        <v>sf</v>
      </c>
      <c r="H53" s="48">
        <f t="shared" si="5"/>
        <v>4.75</v>
      </c>
    </row>
    <row r="54" spans="1:8" s="49" customFormat="1" ht="12.75">
      <c r="A54" s="29">
        <f t="shared" si="7"/>
        <v>41</v>
      </c>
      <c r="B54" s="29" t="s">
        <v>77</v>
      </c>
      <c r="C54" s="43" t="s">
        <v>65</v>
      </c>
      <c r="D54" s="44">
        <f>ROUND(((+M7*M8)+(N7*N8))/9,0)</f>
        <v>491</v>
      </c>
      <c r="E54" s="45">
        <f>ROUND(4.9*(1+inflation_rate),1)</f>
        <v>5.3</v>
      </c>
      <c r="F54" s="45">
        <f t="shared" si="6"/>
        <v>2602.2999999999997</v>
      </c>
      <c r="G54" s="47" t="str">
        <f t="shared" si="4"/>
        <v>sy</v>
      </c>
      <c r="H54" s="48">
        <f t="shared" si="5"/>
        <v>5.3</v>
      </c>
    </row>
    <row r="55" spans="1:8" s="49" customFormat="1" ht="12.75">
      <c r="A55" s="29">
        <f t="shared" si="7"/>
        <v>42</v>
      </c>
      <c r="B55" s="29" t="s">
        <v>76</v>
      </c>
      <c r="C55" s="43" t="s">
        <v>65</v>
      </c>
      <c r="D55" s="44">
        <f>ROUND(((+M7*M8)+(N7*N8))/9,0)</f>
        <v>491</v>
      </c>
      <c r="E55" s="45">
        <f>ROUND(4.9*(1+inflation_rate),1)</f>
        <v>5.3</v>
      </c>
      <c r="F55" s="45">
        <f t="shared" si="6"/>
        <v>2602.2999999999997</v>
      </c>
      <c r="G55" s="47" t="str">
        <f t="shared" si="4"/>
        <v>sy</v>
      </c>
      <c r="H55" s="48">
        <f t="shared" si="5"/>
        <v>5.3</v>
      </c>
    </row>
    <row r="56" spans="1:8" s="49" customFormat="1" ht="12.75">
      <c r="A56" s="29">
        <f t="shared" si="7"/>
        <v>43</v>
      </c>
      <c r="B56" s="29" t="s">
        <v>41</v>
      </c>
      <c r="C56" s="43" t="s">
        <v>69</v>
      </c>
      <c r="D56" s="44">
        <v>0</v>
      </c>
      <c r="E56" s="45">
        <f>ROUND(76*(1+inflation_rate),0)</f>
        <v>82</v>
      </c>
      <c r="F56" s="45">
        <f t="shared" si="6"/>
        <v>0</v>
      </c>
      <c r="G56" s="47" t="str">
        <f t="shared" si="4"/>
        <v>ton</v>
      </c>
      <c r="H56" s="48">
        <f t="shared" si="5"/>
        <v>82</v>
      </c>
    </row>
    <row r="57" spans="1:8" s="49" customFormat="1" ht="12.75">
      <c r="A57" s="29">
        <f t="shared" si="7"/>
        <v>44</v>
      </c>
      <c r="B57" s="29" t="s">
        <v>28</v>
      </c>
      <c r="C57" s="43" t="s">
        <v>11</v>
      </c>
      <c r="D57" s="44">
        <v>0</v>
      </c>
      <c r="E57" s="45">
        <f>ROUND(400*(1+inflation_rate),0)</f>
        <v>434</v>
      </c>
      <c r="F57" s="45">
        <f t="shared" si="6"/>
        <v>0</v>
      </c>
      <c r="G57" s="47" t="str">
        <f t="shared" si="4"/>
        <v>ea</v>
      </c>
      <c r="H57" s="48">
        <f t="shared" si="5"/>
        <v>434</v>
      </c>
    </row>
    <row r="58" spans="1:8" s="49" customFormat="1" ht="12.75">
      <c r="A58" s="29">
        <f t="shared" si="7"/>
        <v>45</v>
      </c>
      <c r="B58" s="29" t="s">
        <v>61</v>
      </c>
      <c r="C58" s="43" t="s">
        <v>65</v>
      </c>
      <c r="D58" s="44">
        <f>+O13*(5*18)/9</f>
        <v>0</v>
      </c>
      <c r="E58" s="45">
        <f>ROUND(16*(1+inflation_rate),1)</f>
        <v>17.4</v>
      </c>
      <c r="F58" s="45">
        <f t="shared" si="6"/>
        <v>0</v>
      </c>
      <c r="G58" s="47" t="str">
        <f t="shared" si="4"/>
        <v>sy</v>
      </c>
      <c r="H58" s="48">
        <f t="shared" si="5"/>
        <v>17.4</v>
      </c>
    </row>
    <row r="59" spans="1:8" s="49" customFormat="1" ht="12.75">
      <c r="A59" s="29">
        <f t="shared" si="7"/>
        <v>46</v>
      </c>
      <c r="B59" s="29" t="s">
        <v>97</v>
      </c>
      <c r="C59" s="43" t="s">
        <v>65</v>
      </c>
      <c r="D59" s="44">
        <v>0</v>
      </c>
      <c r="E59" s="45">
        <f>ROUND(24*(1+inflation_rate),1)</f>
        <v>26</v>
      </c>
      <c r="F59" s="45">
        <f t="shared" si="6"/>
        <v>0</v>
      </c>
      <c r="G59" s="47" t="str">
        <f t="shared" si="4"/>
        <v>sy</v>
      </c>
      <c r="H59" s="48">
        <f t="shared" si="5"/>
        <v>26</v>
      </c>
    </row>
    <row r="60" spans="1:8" s="49" customFormat="1" ht="12.75">
      <c r="A60" s="29">
        <f t="shared" si="7"/>
        <v>47</v>
      </c>
      <c r="B60" s="29" t="s">
        <v>83</v>
      </c>
      <c r="C60" s="43" t="s">
        <v>65</v>
      </c>
      <c r="D60" s="44">
        <f>ROUND((M7*(M11+M12)+N7*(N11+N12)-O13*18)/9,0)</f>
        <v>189</v>
      </c>
      <c r="E60" s="45">
        <f>ROUND(27.5*(1+inflation_rate),1)</f>
        <v>29.8</v>
      </c>
      <c r="F60" s="45">
        <f t="shared" si="6"/>
        <v>5632.2</v>
      </c>
      <c r="G60" s="47" t="str">
        <f t="shared" si="4"/>
        <v>sy</v>
      </c>
      <c r="H60" s="48">
        <f t="shared" si="5"/>
        <v>29.8</v>
      </c>
    </row>
    <row r="61" spans="1:8" s="49" customFormat="1" ht="12.75">
      <c r="A61" s="29">
        <f t="shared" si="7"/>
        <v>48</v>
      </c>
      <c r="B61" s="29" t="s">
        <v>29</v>
      </c>
      <c r="C61" s="43" t="s">
        <v>65</v>
      </c>
      <c r="D61" s="44">
        <f>(+O13*18*(14.5+7.5)/2)/9</f>
        <v>0</v>
      </c>
      <c r="E61" s="45">
        <f>ROUND(31.5*(1+inflation_rate),1)</f>
        <v>34.2</v>
      </c>
      <c r="F61" s="45">
        <f t="shared" si="6"/>
        <v>0</v>
      </c>
      <c r="G61" s="47" t="str">
        <f t="shared" si="4"/>
        <v>sy</v>
      </c>
      <c r="H61" s="48">
        <f t="shared" si="5"/>
        <v>34.2</v>
      </c>
    </row>
    <row r="62" spans="1:8" s="49" customFormat="1" ht="12.75">
      <c r="A62" s="29">
        <f t="shared" si="7"/>
        <v>49</v>
      </c>
      <c r="B62" s="29" t="s">
        <v>48</v>
      </c>
      <c r="C62" s="43" t="s">
        <v>65</v>
      </c>
      <c r="D62" s="44">
        <v>0</v>
      </c>
      <c r="E62" s="45">
        <f>ROUND(33.55*(1+inflation_rate),1)</f>
        <v>36.4</v>
      </c>
      <c r="F62" s="45">
        <f t="shared" si="6"/>
        <v>0</v>
      </c>
      <c r="G62" s="47" t="str">
        <f t="shared" si="4"/>
        <v>sy</v>
      </c>
      <c r="H62" s="48">
        <f t="shared" si="5"/>
        <v>36.4</v>
      </c>
    </row>
    <row r="63" spans="1:8" s="49" customFormat="1" ht="12.75">
      <c r="A63" s="29">
        <f t="shared" si="7"/>
        <v>50</v>
      </c>
      <c r="B63" s="29" t="s">
        <v>30</v>
      </c>
      <c r="C63" s="43" t="s">
        <v>66</v>
      </c>
      <c r="D63" s="44">
        <f>O7*2</f>
        <v>340</v>
      </c>
      <c r="E63" s="45">
        <f>10*(1+inflation_rate)</f>
        <v>10.85</v>
      </c>
      <c r="F63" s="45">
        <f t="shared" si="6"/>
        <v>3689</v>
      </c>
      <c r="G63" s="47" t="str">
        <f t="shared" si="4"/>
        <v>lf</v>
      </c>
      <c r="H63" s="48">
        <f t="shared" si="5"/>
        <v>10.85</v>
      </c>
    </row>
    <row r="64" spans="1:8" s="49" customFormat="1" ht="12.75">
      <c r="A64" s="29">
        <f t="shared" si="7"/>
        <v>51</v>
      </c>
      <c r="B64" s="29" t="s">
        <v>31</v>
      </c>
      <c r="C64" s="43" t="s">
        <v>66</v>
      </c>
      <c r="D64" s="44">
        <v>0</v>
      </c>
      <c r="E64" s="45">
        <f>ROUND(13.75*(1+inflation_rate),1)</f>
        <v>14.9</v>
      </c>
      <c r="F64" s="45">
        <f t="shared" si="6"/>
        <v>0</v>
      </c>
      <c r="G64" s="47" t="str">
        <f t="shared" si="4"/>
        <v>lf</v>
      </c>
      <c r="H64" s="48">
        <f t="shared" si="5"/>
        <v>14.9</v>
      </c>
    </row>
    <row r="65" spans="1:8" s="49" customFormat="1" ht="12.75">
      <c r="A65" s="29">
        <f t="shared" si="7"/>
        <v>52</v>
      </c>
      <c r="B65" s="29" t="s">
        <v>60</v>
      </c>
      <c r="C65" s="43" t="s">
        <v>66</v>
      </c>
      <c r="D65" s="44">
        <v>0</v>
      </c>
      <c r="E65" s="45">
        <f>ROUND(149.35*(1+inflation_rate),0)</f>
        <v>162</v>
      </c>
      <c r="F65" s="45">
        <f t="shared" si="6"/>
        <v>0</v>
      </c>
      <c r="G65" s="47" t="str">
        <f t="shared" si="4"/>
        <v>lf</v>
      </c>
      <c r="H65" s="48">
        <f t="shared" si="5"/>
        <v>162</v>
      </c>
    </row>
    <row r="66" spans="1:8" s="49" customFormat="1" ht="12.75">
      <c r="A66" s="29">
        <f t="shared" si="7"/>
        <v>53</v>
      </c>
      <c r="B66" s="29" t="s">
        <v>59</v>
      </c>
      <c r="C66" s="43" t="s">
        <v>11</v>
      </c>
      <c r="D66" s="44">
        <v>0</v>
      </c>
      <c r="E66" s="45">
        <f>ROUND(95*(1+inflation_rate),0)</f>
        <v>103</v>
      </c>
      <c r="F66" s="45">
        <f t="shared" si="6"/>
        <v>0</v>
      </c>
      <c r="G66" s="47" t="str">
        <f t="shared" si="4"/>
        <v>ea</v>
      </c>
      <c r="H66" s="48">
        <f t="shared" si="5"/>
        <v>103</v>
      </c>
    </row>
    <row r="67" spans="1:8" s="49" customFormat="1" ht="12.75">
      <c r="A67" s="29">
        <f t="shared" si="7"/>
        <v>54</v>
      </c>
      <c r="B67" s="29" t="s">
        <v>58</v>
      </c>
      <c r="C67" s="43" t="s">
        <v>11</v>
      </c>
      <c r="D67" s="44">
        <v>0</v>
      </c>
      <c r="E67" s="45">
        <f>ROUND(70*(1+inflation_rate),0)</f>
        <v>76</v>
      </c>
      <c r="F67" s="45">
        <f t="shared" si="6"/>
        <v>0</v>
      </c>
      <c r="G67" s="47" t="str">
        <f t="shared" si="4"/>
        <v>ea</v>
      </c>
      <c r="H67" s="48">
        <f t="shared" si="5"/>
        <v>76</v>
      </c>
    </row>
    <row r="68" spans="1:8" s="49" customFormat="1" ht="12.75">
      <c r="A68" s="29">
        <f t="shared" si="7"/>
        <v>55</v>
      </c>
      <c r="B68" s="29" t="s">
        <v>57</v>
      </c>
      <c r="C68" s="43" t="s">
        <v>11</v>
      </c>
      <c r="D68" s="44">
        <v>0</v>
      </c>
      <c r="E68" s="45">
        <f>ROUND(750*(1+inflation_rate),0)</f>
        <v>814</v>
      </c>
      <c r="F68" s="45">
        <f t="shared" si="6"/>
        <v>0</v>
      </c>
      <c r="G68" s="47" t="str">
        <f t="shared" si="4"/>
        <v>ea</v>
      </c>
      <c r="H68" s="48">
        <f t="shared" si="5"/>
        <v>814</v>
      </c>
    </row>
    <row r="69" spans="1:8" s="49" customFormat="1" ht="12.75">
      <c r="A69" s="29">
        <f t="shared" si="7"/>
        <v>56</v>
      </c>
      <c r="B69" s="29" t="s">
        <v>56</v>
      </c>
      <c r="C69" s="43" t="s">
        <v>11</v>
      </c>
      <c r="D69" s="44">
        <v>0</v>
      </c>
      <c r="E69" s="45">
        <f>ROUND(80*(1+inflation_rate),0)</f>
        <v>87</v>
      </c>
      <c r="F69" s="45">
        <f t="shared" si="6"/>
        <v>0</v>
      </c>
      <c r="G69" s="47" t="str">
        <f t="shared" si="4"/>
        <v>ea</v>
      </c>
      <c r="H69" s="48">
        <f t="shared" si="5"/>
        <v>87</v>
      </c>
    </row>
    <row r="70" spans="1:8" s="49" customFormat="1" ht="12.75">
      <c r="A70" s="29">
        <f t="shared" si="7"/>
        <v>57</v>
      </c>
      <c r="B70" s="29" t="s">
        <v>50</v>
      </c>
      <c r="C70" s="43" t="s">
        <v>67</v>
      </c>
      <c r="D70" s="44">
        <f>ROUND(O7*(9+5)*(8/12)/27,0)</f>
        <v>59</v>
      </c>
      <c r="E70" s="45">
        <f>ROUND(25*(1+inflation_rate),1)</f>
        <v>27.1</v>
      </c>
      <c r="F70" s="45">
        <f t="shared" si="6"/>
        <v>1598.9</v>
      </c>
      <c r="G70" s="47" t="str">
        <f t="shared" si="4"/>
        <v>cy</v>
      </c>
      <c r="H70" s="48">
        <f t="shared" si="5"/>
        <v>27.1</v>
      </c>
    </row>
    <row r="71" spans="1:8" s="49" customFormat="1" ht="12.75">
      <c r="A71" s="29">
        <f t="shared" si="7"/>
        <v>58</v>
      </c>
      <c r="B71" s="29" t="s">
        <v>55</v>
      </c>
      <c r="C71" s="43" t="s">
        <v>65</v>
      </c>
      <c r="D71" s="44">
        <f>ROUND(O7*(9+5)/9,0)</f>
        <v>264</v>
      </c>
      <c r="E71" s="45">
        <f>ROUND(1.5*(1+inflation_rate),1)</f>
        <v>1.6</v>
      </c>
      <c r="F71" s="45">
        <f t="shared" si="6"/>
        <v>422.40000000000003</v>
      </c>
      <c r="G71" s="47" t="str">
        <f t="shared" si="4"/>
        <v>sy</v>
      </c>
      <c r="H71" s="48">
        <f t="shared" si="5"/>
        <v>1.6</v>
      </c>
    </row>
    <row r="72" spans="1:8" s="49" customFormat="1" ht="12.75">
      <c r="A72" s="29">
        <f t="shared" si="7"/>
        <v>59</v>
      </c>
      <c r="B72" s="29" t="s">
        <v>42</v>
      </c>
      <c r="C72" s="43" t="s">
        <v>65</v>
      </c>
      <c r="D72" s="44">
        <v>0</v>
      </c>
      <c r="E72" s="45">
        <f>ROUND(2.7*(1+inflation_rate),1)</f>
        <v>2.9</v>
      </c>
      <c r="F72" s="45">
        <f t="shared" si="6"/>
        <v>0</v>
      </c>
      <c r="G72" s="47" t="str">
        <f t="shared" si="4"/>
        <v>sy</v>
      </c>
      <c r="H72" s="48">
        <f t="shared" si="5"/>
        <v>2.9</v>
      </c>
    </row>
    <row r="73" spans="1:8" s="49" customFormat="1" ht="12.75">
      <c r="A73" s="29">
        <f t="shared" si="7"/>
        <v>60</v>
      </c>
      <c r="B73" s="29" t="s">
        <v>98</v>
      </c>
      <c r="C73" s="43" t="s">
        <v>11</v>
      </c>
      <c r="D73" s="44">
        <f>2*3</f>
        <v>6</v>
      </c>
      <c r="E73" s="45">
        <f>ROUND(250*(1+inflation_rate),0)</f>
        <v>271</v>
      </c>
      <c r="F73" s="45">
        <f t="shared" si="6"/>
        <v>1626</v>
      </c>
      <c r="G73" s="47" t="str">
        <f t="shared" si="4"/>
        <v>ea</v>
      </c>
      <c r="H73" s="48">
        <f t="shared" si="5"/>
        <v>271</v>
      </c>
    </row>
    <row r="74" spans="1:8" s="49" customFormat="1" ht="12.75">
      <c r="A74" s="29">
        <f t="shared" si="7"/>
        <v>61</v>
      </c>
      <c r="B74" s="29" t="s">
        <v>32</v>
      </c>
      <c r="C74" s="43" t="s">
        <v>67</v>
      </c>
      <c r="D74" s="44">
        <v>0</v>
      </c>
      <c r="E74" s="45">
        <f>ROUND(411.35*(1+inflation_rate),0)</f>
        <v>446</v>
      </c>
      <c r="F74" s="45">
        <f t="shared" si="6"/>
        <v>0</v>
      </c>
      <c r="G74" s="47" t="str">
        <f t="shared" si="4"/>
        <v>cy</v>
      </c>
      <c r="H74" s="48">
        <f t="shared" si="5"/>
        <v>446</v>
      </c>
    </row>
    <row r="75" spans="1:8" s="49" customFormat="1" ht="12.75">
      <c r="A75" s="29">
        <f t="shared" si="7"/>
        <v>62</v>
      </c>
      <c r="B75" s="29" t="s">
        <v>52</v>
      </c>
      <c r="C75" s="43" t="s">
        <v>66</v>
      </c>
      <c r="D75" s="44">
        <v>60</v>
      </c>
      <c r="E75" s="45">
        <f>ROUND(12.2*(1+inflation_rate),1)</f>
        <v>13.2</v>
      </c>
      <c r="F75" s="45">
        <f t="shared" si="6"/>
        <v>792</v>
      </c>
      <c r="G75" s="47" t="str">
        <f t="shared" si="4"/>
        <v>lf</v>
      </c>
      <c r="H75" s="48">
        <f t="shared" si="5"/>
        <v>13.2</v>
      </c>
    </row>
    <row r="76" spans="1:8" s="49" customFormat="1" ht="12.75">
      <c r="A76" s="29">
        <f t="shared" si="7"/>
        <v>63</v>
      </c>
      <c r="B76" s="29" t="s">
        <v>51</v>
      </c>
      <c r="C76" s="43" t="s">
        <v>66</v>
      </c>
      <c r="D76" s="44">
        <v>0</v>
      </c>
      <c r="E76" s="45">
        <f>ROUND(43.9*(1+inflation_rate),1)</f>
        <v>47.6</v>
      </c>
      <c r="F76" s="45">
        <f t="shared" si="6"/>
        <v>0</v>
      </c>
      <c r="G76" s="47" t="str">
        <f t="shared" si="4"/>
        <v>lf</v>
      </c>
      <c r="H76" s="48">
        <f t="shared" si="5"/>
        <v>47.6</v>
      </c>
    </row>
    <row r="77" spans="1:8" s="49" customFormat="1" ht="12.75">
      <c r="A77" s="29">
        <f t="shared" si="7"/>
        <v>64</v>
      </c>
      <c r="B77" s="29" t="s">
        <v>53</v>
      </c>
      <c r="C77" s="43" t="s">
        <v>11</v>
      </c>
      <c r="D77" s="44">
        <f>+O13</f>
        <v>0</v>
      </c>
      <c r="E77" s="45">
        <f>ROUND(90*(1+inflation_rate),0)</f>
        <v>98</v>
      </c>
      <c r="F77" s="45">
        <f t="shared" si="6"/>
        <v>0</v>
      </c>
      <c r="G77" s="47" t="str">
        <f t="shared" si="4"/>
        <v>ea</v>
      </c>
      <c r="H77" s="48">
        <f t="shared" si="5"/>
        <v>98</v>
      </c>
    </row>
    <row r="78" spans="1:8" s="49" customFormat="1" ht="12.75">
      <c r="A78" s="29">
        <f t="shared" si="7"/>
        <v>65</v>
      </c>
      <c r="B78" s="29" t="s">
        <v>43</v>
      </c>
      <c r="C78" s="43" t="s">
        <v>11</v>
      </c>
      <c r="D78" s="44">
        <v>0</v>
      </c>
      <c r="E78" s="45">
        <f>ROUND(150*(1+inflation_rate),0)</f>
        <v>163</v>
      </c>
      <c r="F78" s="45">
        <f aca="true" t="shared" si="8" ref="F78:F84">D78*E78</f>
        <v>0</v>
      </c>
      <c r="G78" s="47" t="str">
        <f t="shared" si="4"/>
        <v>ea</v>
      </c>
      <c r="H78" s="48">
        <f t="shared" si="5"/>
        <v>163</v>
      </c>
    </row>
    <row r="79" spans="1:8" s="49" customFormat="1" ht="12.75">
      <c r="A79" s="29">
        <f aca="true" t="shared" si="9" ref="A79:A84">A78+1</f>
        <v>66</v>
      </c>
      <c r="B79" s="29" t="s">
        <v>44</v>
      </c>
      <c r="C79" s="43" t="s">
        <v>11</v>
      </c>
      <c r="D79" s="44">
        <v>0</v>
      </c>
      <c r="E79" s="45">
        <f>ROUND(275*(1+inflation_rate),0)</f>
        <v>298</v>
      </c>
      <c r="F79" s="45">
        <f t="shared" si="8"/>
        <v>0</v>
      </c>
      <c r="G79" s="47" t="str">
        <f t="shared" si="4"/>
        <v>ea</v>
      </c>
      <c r="H79" s="48">
        <f t="shared" si="5"/>
        <v>298</v>
      </c>
    </row>
    <row r="80" spans="1:8" s="49" customFormat="1" ht="12.75">
      <c r="A80" s="29">
        <f t="shared" si="9"/>
        <v>67</v>
      </c>
      <c r="B80" s="29" t="s">
        <v>45</v>
      </c>
      <c r="C80" s="43" t="s">
        <v>11</v>
      </c>
      <c r="D80" s="44">
        <v>0</v>
      </c>
      <c r="E80" s="45">
        <f>ROUND(45*(1+inflation_rate),0)</f>
        <v>49</v>
      </c>
      <c r="F80" s="45">
        <f t="shared" si="8"/>
        <v>0</v>
      </c>
      <c r="G80" s="47" t="str">
        <f t="shared" si="4"/>
        <v>ea</v>
      </c>
      <c r="H80" s="48">
        <f t="shared" si="5"/>
        <v>49</v>
      </c>
    </row>
    <row r="81" spans="1:8" s="49" customFormat="1" ht="12.75">
      <c r="A81" s="29">
        <f t="shared" si="9"/>
        <v>68</v>
      </c>
      <c r="B81" s="29" t="s">
        <v>33</v>
      </c>
      <c r="C81" s="43" t="s">
        <v>11</v>
      </c>
      <c r="D81" s="44">
        <v>0</v>
      </c>
      <c r="E81" s="45">
        <f>ROUND(17*(1+inflation_rate),1)</f>
        <v>18.4</v>
      </c>
      <c r="F81" s="45">
        <f t="shared" si="8"/>
        <v>0</v>
      </c>
      <c r="G81" s="47" t="str">
        <f t="shared" si="4"/>
        <v>ea</v>
      </c>
      <c r="H81" s="48">
        <f t="shared" si="5"/>
        <v>18.4</v>
      </c>
    </row>
    <row r="82" spans="1:8" s="49" customFormat="1" ht="12.75">
      <c r="A82" s="29">
        <f t="shared" si="9"/>
        <v>69</v>
      </c>
      <c r="B82" s="29" t="s">
        <v>34</v>
      </c>
      <c r="C82" s="43" t="s">
        <v>11</v>
      </c>
      <c r="D82" s="44">
        <v>0</v>
      </c>
      <c r="E82" s="45">
        <f>ROUND(30*(1+inflation_rate),1)</f>
        <v>32.6</v>
      </c>
      <c r="F82" s="45">
        <f t="shared" si="8"/>
        <v>0</v>
      </c>
      <c r="G82" s="47" t="str">
        <f t="shared" si="4"/>
        <v>ea</v>
      </c>
      <c r="H82" s="48">
        <f t="shared" si="5"/>
        <v>32.6</v>
      </c>
    </row>
    <row r="83" spans="1:8" s="49" customFormat="1" ht="12.75">
      <c r="A83" s="29">
        <f t="shared" si="9"/>
        <v>70</v>
      </c>
      <c r="B83" s="29" t="s">
        <v>46</v>
      </c>
      <c r="C83" s="43" t="s">
        <v>11</v>
      </c>
      <c r="D83" s="44">
        <v>0</v>
      </c>
      <c r="E83" s="45">
        <f>ROUND(350*(1+inflation_rate),0)</f>
        <v>380</v>
      </c>
      <c r="F83" s="45">
        <f t="shared" si="8"/>
        <v>0</v>
      </c>
      <c r="G83" s="47" t="str">
        <f t="shared" si="4"/>
        <v>ea</v>
      </c>
      <c r="H83" s="48">
        <f t="shared" si="5"/>
        <v>380</v>
      </c>
    </row>
    <row r="84" spans="1:8" s="49" customFormat="1" ht="12.75">
      <c r="A84" s="29">
        <f t="shared" si="9"/>
        <v>71</v>
      </c>
      <c r="B84" s="29" t="s">
        <v>54</v>
      </c>
      <c r="C84" s="43" t="s">
        <v>11</v>
      </c>
      <c r="D84" s="44">
        <v>0</v>
      </c>
      <c r="E84" s="45">
        <f>ROUND(200*(1+inflation_rate),0)</f>
        <v>217</v>
      </c>
      <c r="F84" s="45">
        <f t="shared" si="8"/>
        <v>0</v>
      </c>
      <c r="G84" s="47" t="str">
        <f t="shared" si="4"/>
        <v>ea</v>
      </c>
      <c r="H84" s="48">
        <f t="shared" si="5"/>
        <v>217</v>
      </c>
    </row>
    <row r="85" spans="5:7" s="24" customFormat="1" ht="12.75">
      <c r="E85" s="50"/>
      <c r="F85" s="50"/>
      <c r="G85" s="25"/>
    </row>
    <row r="86" spans="1:7" s="24" customFormat="1" ht="12.75">
      <c r="A86" s="30" t="s">
        <v>84</v>
      </c>
      <c r="B86" s="30"/>
      <c r="C86" s="30"/>
      <c r="E86" s="50"/>
      <c r="F86" s="51">
        <f>SUM(F14:F85)</f>
        <v>41415.8</v>
      </c>
      <c r="G86" s="31"/>
    </row>
    <row r="87" spans="1:7" s="24" customFormat="1" ht="12.75">
      <c r="A87" s="30"/>
      <c r="B87" s="30"/>
      <c r="C87" s="30"/>
      <c r="F87" s="26"/>
      <c r="G87" s="27"/>
    </row>
    <row r="88" spans="1:7" ht="12.75">
      <c r="A88" s="222" t="s">
        <v>85</v>
      </c>
      <c r="B88" s="223"/>
      <c r="C88" s="223"/>
      <c r="D88" s="223"/>
      <c r="E88" s="223"/>
      <c r="F88" s="224"/>
      <c r="G88" s="19"/>
    </row>
    <row r="89" spans="1:7" ht="13.5" thickBot="1">
      <c r="A89" s="13"/>
      <c r="B89" s="13"/>
      <c r="C89" s="13"/>
      <c r="D89" s="14"/>
      <c r="E89" s="14"/>
      <c r="F89" s="14"/>
      <c r="G89" s="19"/>
    </row>
    <row r="90" spans="1:7" ht="14.25" customHeight="1" thickBot="1" thickTop="1">
      <c r="A90" s="6" t="s">
        <v>3</v>
      </c>
      <c r="B90" s="4" t="s">
        <v>4</v>
      </c>
      <c r="C90" s="12" t="s">
        <v>5</v>
      </c>
      <c r="D90" s="12" t="s">
        <v>6</v>
      </c>
      <c r="E90" s="12" t="s">
        <v>7</v>
      </c>
      <c r="F90" s="12" t="s">
        <v>8</v>
      </c>
      <c r="G90" s="16"/>
    </row>
    <row r="91" spans="1:7" s="18" customFormat="1" ht="13.5" thickTop="1">
      <c r="A91" s="54">
        <f>A84+1</f>
        <v>72</v>
      </c>
      <c r="B91" s="54" t="s">
        <v>36</v>
      </c>
      <c r="C91" s="55" t="s">
        <v>9</v>
      </c>
      <c r="D91" s="56">
        <v>1</v>
      </c>
      <c r="E91" s="57">
        <v>0</v>
      </c>
      <c r="F91" s="57">
        <f>D91*E91</f>
        <v>0</v>
      </c>
      <c r="G91" s="58" t="str">
        <f>IF(C91="mg","ton",IF(C91="kl","kgal",IF(C91="m3","cy",IF(C91="m2","sy",IF(C91="m","lf",IF(C91="m3","cy",C91))))))</f>
        <v>ls</v>
      </c>
    </row>
    <row r="92" spans="1:7" s="18" customFormat="1" ht="12.75">
      <c r="A92" s="28">
        <f>A91+1</f>
        <v>73</v>
      </c>
      <c r="B92" s="28" t="s">
        <v>14</v>
      </c>
      <c r="C92" s="59" t="s">
        <v>9</v>
      </c>
      <c r="D92" s="60">
        <v>1</v>
      </c>
      <c r="E92" s="46">
        <v>0</v>
      </c>
      <c r="F92" s="46">
        <f>D92*E92</f>
        <v>0</v>
      </c>
      <c r="G92" s="58" t="str">
        <f>IF(C92="mg","ton",IF(C92="kl","kgal",IF(C92="m3","cy",IF(C92="m2","sy",IF(C92="m","lf",IF(C92="m3","cy",C92))))))</f>
        <v>ls</v>
      </c>
    </row>
    <row r="93" spans="1:7" s="18" customFormat="1" ht="12.75">
      <c r="A93" s="28">
        <f>A92+1</f>
        <v>74</v>
      </c>
      <c r="B93" s="28" t="s">
        <v>37</v>
      </c>
      <c r="C93" s="59" t="s">
        <v>65</v>
      </c>
      <c r="D93" s="60">
        <v>0</v>
      </c>
      <c r="E93" s="46">
        <v>0</v>
      </c>
      <c r="F93" s="46">
        <f>D93*E93</f>
        <v>0</v>
      </c>
      <c r="G93" s="58" t="str">
        <f>IF(C93="mg","ton",IF(C93="kl","kgal",IF(C93="m3","cy",IF(C93="m2","sy",IF(C93="m","lf",IF(C93="m3","cy",C93))))))</f>
        <v>sy</v>
      </c>
    </row>
    <row r="94" spans="1:7" s="18" customFormat="1" ht="12.75">
      <c r="A94" s="28">
        <f>A93+1</f>
        <v>75</v>
      </c>
      <c r="B94" s="28" t="s">
        <v>38</v>
      </c>
      <c r="C94" s="59" t="s">
        <v>9</v>
      </c>
      <c r="D94" s="60">
        <v>1</v>
      </c>
      <c r="E94" s="46">
        <v>500</v>
      </c>
      <c r="F94" s="46">
        <f>D94*E94</f>
        <v>500</v>
      </c>
      <c r="G94" s="58" t="str">
        <f>IF(C94="mg","ton",IF(C94="kl","kgal",IF(C94="m3","cy",IF(C94="m2","sy",IF(C94="m","lf",IF(C94="m3","cy",C94))))))</f>
        <v>ls</v>
      </c>
    </row>
    <row r="95" spans="1:7" s="18" customFormat="1" ht="12.75">
      <c r="A95" s="28">
        <f>A94+1</f>
        <v>76</v>
      </c>
      <c r="B95" s="28" t="s">
        <v>39</v>
      </c>
      <c r="C95" s="59" t="s">
        <v>66</v>
      </c>
      <c r="D95" s="60">
        <v>0</v>
      </c>
      <c r="E95" s="46">
        <v>0</v>
      </c>
      <c r="F95" s="46">
        <f>D95*E95</f>
        <v>0</v>
      </c>
      <c r="G95" s="58" t="str">
        <f>IF(C95="mg","ton",IF(C95="kl","kgal",IF(C95="m3","cy",IF(C95="m2","sy",IF(C95="m","lf",IF(C95="m3","cy",C95))))))</f>
        <v>lf</v>
      </c>
    </row>
    <row r="96" spans="3:6" s="18" customFormat="1" ht="12.75">
      <c r="C96" s="61"/>
      <c r="D96" s="62"/>
      <c r="E96" s="39"/>
      <c r="F96" s="39"/>
    </row>
    <row r="97" spans="1:6" ht="12.75">
      <c r="A97" s="3" t="s">
        <v>87</v>
      </c>
      <c r="B97" s="3"/>
      <c r="C97" s="3"/>
      <c r="E97" s="33"/>
      <c r="F97" s="32">
        <f>SUM(F91:F96)</f>
        <v>500</v>
      </c>
    </row>
    <row r="98" spans="1:6" ht="12.75">
      <c r="A98" s="3"/>
      <c r="B98" s="3"/>
      <c r="C98" s="3"/>
      <c r="E98" s="33"/>
      <c r="F98" s="36"/>
    </row>
    <row r="99" spans="1:6" ht="13.5" thickBot="1">
      <c r="A99" s="10"/>
      <c r="B99" s="10"/>
      <c r="C99" s="10"/>
      <c r="D99" s="10"/>
      <c r="E99" s="34"/>
      <c r="F99" s="34"/>
    </row>
    <row r="100" spans="5:6" ht="13.5" thickTop="1">
      <c r="E100" s="33"/>
      <c r="F100" s="33"/>
    </row>
    <row r="101" spans="1:6" ht="12.75">
      <c r="A101" s="9" t="s">
        <v>13</v>
      </c>
      <c r="B101" s="9"/>
      <c r="C101" s="9"/>
      <c r="E101" s="33"/>
      <c r="F101" s="33"/>
    </row>
    <row r="102" spans="5:6" ht="12.75">
      <c r="E102" s="33"/>
      <c r="F102" s="33"/>
    </row>
    <row r="103" spans="1:6" ht="12.75">
      <c r="A103" t="s">
        <v>88</v>
      </c>
      <c r="E103" s="33"/>
      <c r="F103" s="33">
        <f>$F$86</f>
        <v>41415.8</v>
      </c>
    </row>
    <row r="104" spans="1:6" ht="12.75">
      <c r="A104" t="s">
        <v>78</v>
      </c>
      <c r="E104" s="33"/>
      <c r="F104" s="35">
        <f>$F$97</f>
        <v>500</v>
      </c>
    </row>
    <row r="105" spans="5:9" ht="12.75">
      <c r="E105" s="33"/>
      <c r="F105" s="33"/>
      <c r="H105" s="11"/>
      <c r="I105" s="11"/>
    </row>
    <row r="106" spans="1:9" ht="12.75">
      <c r="A106" t="s">
        <v>90</v>
      </c>
      <c r="E106" s="33"/>
      <c r="F106" s="36">
        <f>SUM(F103:F105)</f>
        <v>41915.8</v>
      </c>
      <c r="H106" s="36"/>
      <c r="I106" s="11"/>
    </row>
    <row r="107" spans="1:9" ht="12.75">
      <c r="A107" t="s">
        <v>113</v>
      </c>
      <c r="C107" s="64">
        <v>0.05</v>
      </c>
      <c r="E107" s="33"/>
      <c r="F107" s="35">
        <f>+F106*C107</f>
        <v>2095.7900000000004</v>
      </c>
      <c r="H107" s="36"/>
      <c r="I107" s="11"/>
    </row>
    <row r="108" spans="5:9" ht="12.75">
      <c r="E108" s="33"/>
      <c r="H108" s="36"/>
      <c r="I108" s="11"/>
    </row>
    <row r="109" spans="1:13" ht="12.75">
      <c r="A109" s="8" t="s">
        <v>91</v>
      </c>
      <c r="B109" s="8"/>
      <c r="C109" s="8"/>
      <c r="E109" s="33"/>
      <c r="F109" s="33">
        <f>SUM(F106:F107)</f>
        <v>44011.590000000004</v>
      </c>
      <c r="H109" s="37"/>
      <c r="I109" s="11"/>
      <c r="L109" s="69">
        <f>+F109/$O$7/2</f>
        <v>129.44585294117647</v>
      </c>
      <c r="M109" t="s">
        <v>131</v>
      </c>
    </row>
    <row r="110" spans="5:9" ht="12.75">
      <c r="E110" s="33"/>
      <c r="F110" s="33"/>
      <c r="H110" s="36"/>
      <c r="I110" s="11"/>
    </row>
    <row r="111" spans="1:9" ht="12.75">
      <c r="A111" t="s">
        <v>100</v>
      </c>
      <c r="C111" s="64">
        <v>0.05</v>
      </c>
      <c r="E111" s="33"/>
      <c r="F111" s="33">
        <f>+$F$109*C111</f>
        <v>2200.5795000000003</v>
      </c>
      <c r="H111" s="36"/>
      <c r="I111" s="11"/>
    </row>
    <row r="112" spans="1:9" ht="12.75">
      <c r="A112" t="s">
        <v>101</v>
      </c>
      <c r="C112" s="64">
        <v>0.25</v>
      </c>
      <c r="E112" s="33"/>
      <c r="F112" s="33">
        <f>+$F$109*C112</f>
        <v>11002.897500000001</v>
      </c>
      <c r="H112" s="36"/>
      <c r="I112" s="11"/>
    </row>
    <row r="113" spans="1:9" ht="12.75">
      <c r="A113" t="s">
        <v>102</v>
      </c>
      <c r="C113" s="64">
        <v>0.15</v>
      </c>
      <c r="E113" s="33"/>
      <c r="F113" s="33">
        <f>+$F$109*C113</f>
        <v>6601.7385</v>
      </c>
      <c r="H113" s="36"/>
      <c r="I113" s="11"/>
    </row>
    <row r="114" spans="1:9" ht="12.75">
      <c r="A114" t="s">
        <v>89</v>
      </c>
      <c r="E114" s="33"/>
      <c r="F114" s="35">
        <v>0</v>
      </c>
      <c r="H114" s="36"/>
      <c r="I114" s="11"/>
    </row>
    <row r="115" spans="5:9" ht="12.75">
      <c r="E115" s="33"/>
      <c r="F115" s="33"/>
      <c r="H115" s="36"/>
      <c r="I115" s="11"/>
    </row>
    <row r="116" spans="1:9" ht="12.75">
      <c r="A116" s="17" t="s">
        <v>92</v>
      </c>
      <c r="E116" s="33"/>
      <c r="F116" s="38">
        <f>SUM(F111:F114)</f>
        <v>19805.215500000002</v>
      </c>
      <c r="H116" s="37"/>
      <c r="I116" s="11"/>
    </row>
    <row r="117" spans="5:9" ht="12.75">
      <c r="E117" s="33"/>
      <c r="F117" s="33"/>
      <c r="H117" s="36"/>
      <c r="I117" s="11"/>
    </row>
    <row r="118" spans="1:9" s="18" customFormat="1" ht="12.75">
      <c r="A118" s="18" t="s">
        <v>90</v>
      </c>
      <c r="E118" s="39"/>
      <c r="F118" s="40">
        <f>F109+F116</f>
        <v>63816.8055</v>
      </c>
      <c r="H118" s="40"/>
      <c r="I118" s="53"/>
    </row>
    <row r="119" spans="1:9" ht="12.75">
      <c r="A119" t="s">
        <v>103</v>
      </c>
      <c r="C119" s="64">
        <v>0.25</v>
      </c>
      <c r="E119" s="33"/>
      <c r="F119" s="33">
        <f>+F118*C119</f>
        <v>15954.201375</v>
      </c>
      <c r="H119" s="36"/>
      <c r="I119" s="64">
        <f>+F119/F118</f>
        <v>0.25</v>
      </c>
    </row>
    <row r="120" spans="1:9" s="18" customFormat="1" ht="12.75">
      <c r="A120" s="18" t="s">
        <v>104</v>
      </c>
      <c r="E120" s="39"/>
      <c r="F120" s="52">
        <v>0</v>
      </c>
      <c r="H120" s="40"/>
      <c r="I120" s="53"/>
    </row>
    <row r="121" spans="5:9" ht="12.75">
      <c r="E121" s="33"/>
      <c r="F121" s="33"/>
      <c r="H121" s="36"/>
      <c r="I121" s="11"/>
    </row>
    <row r="122" spans="1:13" ht="12.75">
      <c r="A122" s="17" t="s">
        <v>93</v>
      </c>
      <c r="E122" s="33"/>
      <c r="F122" s="41">
        <f>SUM(F118:F121)</f>
        <v>79771.006875</v>
      </c>
      <c r="H122" s="37"/>
      <c r="I122" s="11"/>
      <c r="L122" s="69">
        <f>+F122/$O$7/2</f>
        <v>234.62060845588238</v>
      </c>
      <c r="M122" t="s">
        <v>131</v>
      </c>
    </row>
    <row r="123" spans="8:9" ht="12.75">
      <c r="H123" s="11"/>
      <c r="I123" s="11"/>
    </row>
    <row r="124" spans="8:9" ht="12.75">
      <c r="H124" s="11"/>
      <c r="I124" s="11"/>
    </row>
  </sheetData>
  <mergeCells count="1">
    <mergeCell ref="A88:F88"/>
  </mergeCells>
  <printOptions horizontalCentered="1"/>
  <pageMargins left="0.8" right="0.8" top="0.8" bottom="0.7" header="0.5" footer="0.3"/>
  <pageSetup fitToHeight="2" fitToWidth="1" orientation="portrait" scale="84" r:id="rId2"/>
  <headerFooter alignWithMargins="0">
    <oddHeader>&amp;L&amp;A&amp;R&amp;D</oddHeader>
    <oddFooter>&amp;L&amp;8S:\_II_Design\37310 - Lents III - 104th and Ramona\Estimate\&amp;F&amp;R&amp;8Page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LAFAYETTE/88TH</dc:title>
  <dc:subject>PRELIMINARY ENGR. ESTIMATE</dc:subject>
  <dc:creator>Authorized Gateway Customer</dc:creator>
  <cp:keywords/>
  <dc:description/>
  <cp:lastModifiedBy> </cp:lastModifiedBy>
  <cp:lastPrinted>2004-05-06T19:57:07Z</cp:lastPrinted>
  <dcterms:created xsi:type="dcterms:W3CDTF">2000-03-28T22:44:33Z</dcterms:created>
  <dcterms:modified xsi:type="dcterms:W3CDTF">2007-03-12T22:30:47Z</dcterms:modified>
  <cp:category/>
  <cp:version/>
  <cp:contentType/>
  <cp:contentStatus/>
</cp:coreProperties>
</file>