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20" tabRatio="794" activeTab="0"/>
  </bookViews>
  <sheets>
    <sheet name="Petition Support Calculation" sheetId="1" r:id="rId1"/>
    <sheet name="Assessment Worksheet" sheetId="2" r:id="rId2"/>
    <sheet name="Taxlots_20040430" sheetId="3" r:id="rId3"/>
    <sheet name="LID Preliminary Estimate -  All" sheetId="4" r:id="rId4"/>
    <sheet name="LID Preliminary Estimate - S" sheetId="5" r:id="rId5"/>
    <sheet name="LID Preliminary Estimate - N" sheetId="6" r:id="rId6"/>
    <sheet name="Nth Trapold to Marine" sheetId="7" r:id="rId7"/>
    <sheet name="Trapold Property" sheetId="8" r:id="rId8"/>
  </sheets>
  <externalReferences>
    <externalReference r:id="rId11"/>
  </externalReferences>
  <definedNames>
    <definedName name="DATABASE" localSheetId="2">'Taxlots_20040430'!$A$1:$AT$3</definedName>
    <definedName name="Engineers_Estimate" localSheetId="3">#REF!</definedName>
    <definedName name="Engineers_Estimate" localSheetId="5">#REF!</definedName>
    <definedName name="Engineers_Estimate" localSheetId="4">#REF!</definedName>
    <definedName name="Engineers_Estimate" localSheetId="6">'Nth Trapold to Marine'!$F$216</definedName>
    <definedName name="Engineers_Estimate" localSheetId="7">'Trapold Property'!$F$210</definedName>
    <definedName name="Engineers_Estimate">#REF!</definedName>
    <definedName name="inflation_rate">#REF!</definedName>
    <definedName name="Item1_SchA_EE" localSheetId="3">#REF!</definedName>
    <definedName name="Item1_SchA_EE" localSheetId="5">#REF!</definedName>
    <definedName name="Item1_SchA_EE" localSheetId="4">#REF!</definedName>
    <definedName name="Item1_SchA_EE" localSheetId="6">'Nth Trapold to Marine'!$F$16</definedName>
    <definedName name="Item1_SchA_EE" localSheetId="7">'Trapold Property'!$F$16</definedName>
    <definedName name="Item1_SchA_EE">#REF!</definedName>
    <definedName name="Item1_SchB_EE" localSheetId="3">#REF!</definedName>
    <definedName name="Item1_SchB_EE" localSheetId="5">#REF!</definedName>
    <definedName name="Item1_SchB_EE" localSheetId="4">#REF!</definedName>
    <definedName name="Item1_SchB_EE" localSheetId="6">'Nth Trapold to Marine'!#REF!</definedName>
    <definedName name="Item1_SchB_EE" localSheetId="7">'Trapold Property'!#REF!</definedName>
    <definedName name="Item1_SchB_EE">#REF!</definedName>
    <definedName name="LengthLargeInt">'[1]Calc Sheet'!#REF!</definedName>
    <definedName name="LengthSmallInt">'[1]Calc Sheet'!#REF!</definedName>
    <definedName name="_xlnm.Print_Area" localSheetId="3">'LID Preliminary Estimate -  All'!$A$1:$F$56</definedName>
    <definedName name="_xlnm.Print_Area" localSheetId="5">'LID Preliminary Estimate - N'!$A$1:$F$56</definedName>
    <definedName name="_xlnm.Print_Area" localSheetId="4">'LID Preliminary Estimate - S'!$A$1:$F$56</definedName>
    <definedName name="_xlnm.Print_Area" localSheetId="6">'Nth Trapold to Marine'!$A$1:$F$232</definedName>
    <definedName name="_xlnm.Print_Area" localSheetId="0">'Petition Support Calculation'!$A$2:$G$38</definedName>
    <definedName name="_xlnm.Print_Area" localSheetId="7">'Trapold Property'!$A$1:$F$226</definedName>
    <definedName name="_xlnm.Print_Titles" localSheetId="6">'Nth Trapold to Marine'!$15:$15</definedName>
    <definedName name="_xlnm.Print_Titles" localSheetId="7">'Trapold Property'!$15:$15</definedName>
    <definedName name="TABLE" localSheetId="0">'Petition Support Calculation'!$B$11:$B$11</definedName>
    <definedName name="Total_SchA_EE" localSheetId="3">#REF!</definedName>
    <definedName name="Total_SchA_EE" localSheetId="5">#REF!</definedName>
    <definedName name="Total_SchA_EE" localSheetId="4">#REF!</definedName>
    <definedName name="Total_SchA_EE" localSheetId="6">'Nth Trapold to Marine'!$F$189</definedName>
    <definedName name="Total_SchA_EE" localSheetId="7">'Trapold Property'!$F$183</definedName>
    <definedName name="Total_SchA_EE">#REF!</definedName>
    <definedName name="Total_SchB_EE" localSheetId="3">#REF!</definedName>
    <definedName name="Total_SchB_EE" localSheetId="5">#REF!</definedName>
    <definedName name="Total_SchB_EE" localSheetId="4">#REF!</definedName>
    <definedName name="Total_SchB_EE" localSheetId="6">'Nth Trapold to Marine'!#REF!</definedName>
    <definedName name="Total_SchB_EE" localSheetId="7">'Trapold Property'!#REF!</definedName>
    <definedName name="Total_SchB_EE">#REF!</definedName>
  </definedNames>
  <calcPr fullCalcOnLoad="1"/>
</workbook>
</file>

<file path=xl/sharedStrings.xml><?xml version="1.0" encoding="utf-8"?>
<sst xmlns="http://schemas.openxmlformats.org/spreadsheetml/2006/main" count="1411" uniqueCount="527">
  <si>
    <t>Zone A</t>
  </si>
  <si>
    <t>Square Footage</t>
  </si>
  <si>
    <t>Assessment</t>
  </si>
  <si>
    <t>% Total</t>
  </si>
  <si>
    <t>Seq</t>
  </si>
  <si>
    <t>State ID (RNo)</t>
  </si>
  <si>
    <t>Owner</t>
  </si>
  <si>
    <t>Site Address</t>
  </si>
  <si>
    <t>Mailing Address</t>
  </si>
  <si>
    <t>Total</t>
  </si>
  <si>
    <t>Assessable</t>
  </si>
  <si>
    <t>Notes</t>
  </si>
  <si>
    <t>Zone</t>
  </si>
  <si>
    <t>All</t>
  </si>
  <si>
    <t>Lien #</t>
  </si>
  <si>
    <t>Liens $</t>
  </si>
  <si>
    <t>Valuation</t>
  </si>
  <si>
    <t>A</t>
  </si>
  <si>
    <t>B</t>
  </si>
  <si>
    <t>Rate per assessable S.F.:</t>
  </si>
  <si>
    <t>Zone B</t>
  </si>
  <si>
    <t>Total Estimated Assessment:</t>
  </si>
  <si>
    <t>Notes:</t>
  </si>
  <si>
    <t>CITY OF PORTLAND, OREGON</t>
  </si>
  <si>
    <t>BUREAU OF TRANSPORTATION ENGINEERING AND DEVELOPMENT</t>
  </si>
  <si>
    <t>PRELIMINARY ENGINEER'S ESTIMATE</t>
  </si>
  <si>
    <t>for *</t>
  </si>
  <si>
    <t>######   BID ITEMS   ######</t>
  </si>
  <si>
    <t>NO.</t>
  </si>
  <si>
    <t>ITEMS OF WORK AND MATERIALS</t>
  </si>
  <si>
    <t>UNIT</t>
  </si>
  <si>
    <t>TOTAL QUANTITY</t>
  </si>
  <si>
    <t>UNIT PRICE</t>
  </si>
  <si>
    <t>TOTAL AMOUNT</t>
  </si>
  <si>
    <t>Mobilization (8%)</t>
  </si>
  <si>
    <t>ls</t>
  </si>
  <si>
    <t>Temporary Signs</t>
  </si>
  <si>
    <t>sqft</t>
  </si>
  <si>
    <t>Assume 6 signs</t>
  </si>
  <si>
    <t>Temporary Barricades, Type III</t>
  </si>
  <si>
    <t>each</t>
  </si>
  <si>
    <t>Temporary Concrete Barrier, Reflectorized</t>
  </si>
  <si>
    <t>foot</t>
  </si>
  <si>
    <t>Move Temporary Concrete Barrier</t>
  </si>
  <si>
    <t>Temporary  Impact Attenuator</t>
  </si>
  <si>
    <t>Temporary Plastic Drums</t>
  </si>
  <si>
    <t>Temporary Reflective Pavement Markers</t>
  </si>
  <si>
    <t>Temporary Flexible Pavement Markers</t>
  </si>
  <si>
    <t>Temporary Striping</t>
  </si>
  <si>
    <t>Stripe Removal</t>
  </si>
  <si>
    <t>Striping &amp; Stripe Removal Mobilization</t>
  </si>
  <si>
    <t>Sequential Arrow Sign</t>
  </si>
  <si>
    <t>Portable Changeable Message Signs</t>
  </si>
  <si>
    <t>Flaggers</t>
  </si>
  <si>
    <t>hour</t>
  </si>
  <si>
    <t>5 days x 8 x 2</t>
  </si>
  <si>
    <t>Temporary Pedestrian Walkway</t>
  </si>
  <si>
    <t>Temporary Type Orange Plastic Mesh Fence</t>
  </si>
  <si>
    <t>Erosion Control</t>
  </si>
  <si>
    <t>Construction Entrances</t>
  </si>
  <si>
    <t>Inlet Protection</t>
  </si>
  <si>
    <t>Biofilter Bags</t>
  </si>
  <si>
    <t>Sediment Fence, Supported</t>
  </si>
  <si>
    <t>Sediment Fence, Unsupported</t>
  </si>
  <si>
    <t>Plastic Sheeting</t>
  </si>
  <si>
    <t>Matting</t>
  </si>
  <si>
    <t>Removal of Curbs</t>
  </si>
  <si>
    <t>Removal of Fences</t>
  </si>
  <si>
    <t>Removal of Inlets</t>
  </si>
  <si>
    <t>Removal of Manholes</t>
  </si>
  <si>
    <t>Removal of Pipes</t>
  </si>
  <si>
    <t>Removal of Railroad Track and Ties</t>
  </si>
  <si>
    <t>Removal of Surfacings</t>
  </si>
  <si>
    <t>sqyd</t>
  </si>
  <si>
    <t>Removal of Walks and Driveways</t>
  </si>
  <si>
    <t>Removal of Cobblestones</t>
  </si>
  <si>
    <t>Asphalt Pavement Cutting</t>
  </si>
  <si>
    <t>Concrete Sawing</t>
  </si>
  <si>
    <t>Clearing and Grubbing</t>
  </si>
  <si>
    <t>Ditch Excavation</t>
  </si>
  <si>
    <t>cuyd</t>
  </si>
  <si>
    <t>General Excavation</t>
  </si>
  <si>
    <t>Surcharge Excavation</t>
  </si>
  <si>
    <t>See Proj 3153</t>
  </si>
  <si>
    <t>Embankment in Place</t>
  </si>
  <si>
    <t>Settlement Plates</t>
  </si>
  <si>
    <t>12 Inch Subgrade Stabilization</t>
  </si>
  <si>
    <t>10% of area = 160' x 23' x 0.10 / 9</t>
  </si>
  <si>
    <t>12 Inch Surfacing Stabilization</t>
  </si>
  <si>
    <t>Aggregate Ditch Lining</t>
  </si>
  <si>
    <t>Watering</t>
  </si>
  <si>
    <t>mgal</t>
  </si>
  <si>
    <t>Drainage Geotextile, Type 2</t>
  </si>
  <si>
    <t>Embankment Geotextile</t>
  </si>
  <si>
    <t>Subgrade Geotextile</t>
  </si>
  <si>
    <t>Granular Drainage Blanket</t>
  </si>
  <si>
    <t>ton</t>
  </si>
  <si>
    <t>Filter Blanket</t>
  </si>
  <si>
    <t>Loose Riprap, Class 50</t>
  </si>
  <si>
    <t>Loose Riprap, Class 100</t>
  </si>
  <si>
    <t># from 158th project</t>
  </si>
  <si>
    <t>3 Inch Drain Pipe</t>
  </si>
  <si>
    <t>12 Inch Culvert Pipe, 5 ft Depth</t>
  </si>
  <si>
    <t>8 Inch Sanitary Pipe, 10 ft Depth</t>
  </si>
  <si>
    <t>10 Inch Sanitary Pipe, 10 ft Depth</t>
  </si>
  <si>
    <t>6 Inch Storm Pipe, 5 ft Depth</t>
  </si>
  <si>
    <t>8 Inch Storm Pipe, 5 ft Depth</t>
  </si>
  <si>
    <t>10 Inch Storm Pipe, 5 ft Depth</t>
  </si>
  <si>
    <t>12 Inch Storm Pipe, 5 ft Depth</t>
  </si>
  <si>
    <t>12 Inch Storm Pipe, 10 ft Depth</t>
  </si>
  <si>
    <t>Dave N. will furnish?</t>
  </si>
  <si>
    <t>15 Inch Storm Pipe, 5 ft Depth</t>
  </si>
  <si>
    <t>15 Inch Storm Pipe, 10 ft Depth</t>
  </si>
  <si>
    <t>18 Inch Storm Pipe, 5 ft Depth</t>
  </si>
  <si>
    <t>18 Inch Storm Pipe, 10 ft Depth</t>
  </si>
  <si>
    <t>Concrete Closure Collar</t>
  </si>
  <si>
    <t>TV Pipe Inspection</t>
  </si>
  <si>
    <t>Water Quality Pond</t>
  </si>
  <si>
    <t>Water Quality System Loop</t>
  </si>
  <si>
    <t>Concrete Sanitary Sewer Manholes</t>
  </si>
  <si>
    <t>Concrete Storm Sewer Manholes</t>
  </si>
  <si>
    <t>Concrete Manholes, Sedimentation</t>
  </si>
  <si>
    <t>Concrete Inlets Type CG-1</t>
  </si>
  <si>
    <t>Concrete Inlets Type CG-2</t>
  </si>
  <si>
    <t>Concrete Inlets Type D</t>
  </si>
  <si>
    <t>Concrete Inlets Type G-1</t>
  </si>
  <si>
    <t>Concrete Inlets Type G-2</t>
  </si>
  <si>
    <t>Bike lanes - use G2</t>
  </si>
  <si>
    <t>Concrete Inlets Type G-2MA</t>
  </si>
  <si>
    <t>Catch Basin</t>
  </si>
  <si>
    <t>Drainage Curbs</t>
  </si>
  <si>
    <t>Adjust Boxes</t>
  </si>
  <si>
    <t>Adjust Inlets</t>
  </si>
  <si>
    <t>Minor Adjustment of Manholes</t>
  </si>
  <si>
    <t>Major Adjustment of Manholes</t>
  </si>
  <si>
    <t>Trench Resurfacing</t>
  </si>
  <si>
    <t>No resurface - new road</t>
  </si>
  <si>
    <t>Shoring, Cribbing &amp; Cofferdams</t>
  </si>
  <si>
    <t>Structural Excavation</t>
  </si>
  <si>
    <t>Granular Wall Backfill</t>
  </si>
  <si>
    <t>Granular Structural Backfill</t>
  </si>
  <si>
    <t>Ornamental Protective Screening</t>
  </si>
  <si>
    <t>Retaining Wall, Cast-In-Place</t>
  </si>
  <si>
    <t>Retaining Wall, Gabion</t>
  </si>
  <si>
    <t>Retaining Wall, Prefabricated Modular</t>
  </si>
  <si>
    <t>Retaining Wall, Conventional Segmental</t>
  </si>
  <si>
    <t>Retaining Wall, MSE</t>
  </si>
  <si>
    <t>Wall adjacent to Hot House</t>
  </si>
  <si>
    <t>Bridge</t>
  </si>
  <si>
    <t>Sound Walls</t>
  </si>
  <si>
    <t>Concrete Arch Culvert</t>
  </si>
  <si>
    <t>Cold Plane Pavement Removal, 2 Inch Deep</t>
  </si>
  <si>
    <t>3/4 Inch - 0 Aggregate Base</t>
  </si>
  <si>
    <t>1-1/2 Inch - 0 Aggregate Base</t>
  </si>
  <si>
    <t>Level 1, 1/2 inch Dense HMAC Mixture in Temp</t>
  </si>
  <si>
    <t xml:space="preserve">Level 2, 1/2 inch Dense HMAC Mixture </t>
  </si>
  <si>
    <t>Level 3, 1/2 inch Dense HMAC Mixture</t>
  </si>
  <si>
    <t>Level 3, 3/4 inch Open HMAC Mixture</t>
  </si>
  <si>
    <t>Level 3, 3/4 inch ATPB HMAC Mixture</t>
  </si>
  <si>
    <t>PG 64-22 Asphalt in HMAC</t>
  </si>
  <si>
    <t>PG 70-22 Asphalt in HMAC</t>
  </si>
  <si>
    <t>Extra for Asphalt Approaches</t>
  </si>
  <si>
    <t>Plain Concrete Pvmt., Undowelled, 11" Thick</t>
  </si>
  <si>
    <t>Pervious Conc. Pvmt., Undowelled, 10" Thick</t>
  </si>
  <si>
    <t>Curb and Gutter Concrete Curbs</t>
  </si>
  <si>
    <t>Standard Curb Concrete Curbs</t>
  </si>
  <si>
    <t>Concrete Island</t>
  </si>
  <si>
    <t>Concrete Driveway</t>
  </si>
  <si>
    <t>1 dway = 30' x 10'</t>
  </si>
  <si>
    <t>Concrete Driveway, Reinforced</t>
  </si>
  <si>
    <t>Concrete Walk</t>
  </si>
  <si>
    <t>Monolithic Curb &amp; Sidewalk</t>
  </si>
  <si>
    <t>Pavement Legend, Type B: Arrows</t>
  </si>
  <si>
    <t>Pavement Legend, Type B: Only</t>
  </si>
  <si>
    <t>Pvmt. Legend, Type B: Bicycle Lane Symbols</t>
  </si>
  <si>
    <t>Pavement Line, Type A</t>
  </si>
  <si>
    <t>(160' x 8" / 12) + (160' x 4" / 12) + (160' x 9' / 24')</t>
  </si>
  <si>
    <t>Bi-directional Yellow Type I Markers</t>
  </si>
  <si>
    <t>White Type II Markers</t>
  </si>
  <si>
    <t>Remove Existing Signs</t>
  </si>
  <si>
    <t>Remove &amp; Re-install Existing Signs</t>
  </si>
  <si>
    <t>Sign Support Footings</t>
  </si>
  <si>
    <t>Signal Pole Mounts</t>
  </si>
  <si>
    <t>Pipe Sign Posts</t>
  </si>
  <si>
    <t>Single Post Breakaway Sign Supports</t>
  </si>
  <si>
    <t>Type G Signs in Place</t>
  </si>
  <si>
    <t>Assume 2 signs x 9 sf</t>
  </si>
  <si>
    <t>Type R Signs in Place</t>
  </si>
  <si>
    <t>Type W1 Signs in Place</t>
  </si>
  <si>
    <t>Type W2 Signs in Place</t>
  </si>
  <si>
    <t>Type Y1 Signs in Place</t>
  </si>
  <si>
    <t>Type Y2 Signs in Place</t>
  </si>
  <si>
    <t>Pole Foundations</t>
  </si>
  <si>
    <t>Light Poles, Fixed Base</t>
  </si>
  <si>
    <t>Light Pole Arms</t>
  </si>
  <si>
    <t>Luminaires, Lamps &amp; Ballasts</t>
  </si>
  <si>
    <t>Switching, Conduit, Wiring</t>
  </si>
  <si>
    <t>Traffic Signal Installation</t>
  </si>
  <si>
    <t>Fire Preemption System</t>
  </si>
  <si>
    <t>Model 170 Controller Equipment</t>
  </si>
  <si>
    <t>Loop Detector Installation</t>
  </si>
  <si>
    <t>Permanent Seeding</t>
  </si>
  <si>
    <t>acre</t>
  </si>
  <si>
    <t>Lawn Seeding</t>
  </si>
  <si>
    <t xml:space="preserve"> </t>
  </si>
  <si>
    <t>Topsoil</t>
  </si>
  <si>
    <t>Soil Conditioner</t>
  </si>
  <si>
    <t>Deciduous Trees, 2-1/2 Inch Caliper</t>
  </si>
  <si>
    <t xml:space="preserve">160' / 30' </t>
  </si>
  <si>
    <t>Deciduous Trees, 3 Inch Caliper</t>
  </si>
  <si>
    <t>Shrubs, No. 1 Container</t>
  </si>
  <si>
    <t>Ground Covers, No. 1 Containers</t>
  </si>
  <si>
    <t>Sod Lawn</t>
  </si>
  <si>
    <t>Bark Mulch</t>
  </si>
  <si>
    <t>160' x 4' x 4" / 12 / 27</t>
  </si>
  <si>
    <t>Plant Establishment Work</t>
  </si>
  <si>
    <t>Additional Establishment Work</t>
  </si>
  <si>
    <t>year</t>
  </si>
  <si>
    <t>Tree Grates</t>
  </si>
  <si>
    <t>Irrigation System</t>
  </si>
  <si>
    <t>8-inch Ductile Iron Pipe</t>
  </si>
  <si>
    <t>Hydrant Assembly</t>
  </si>
  <si>
    <t>Water Service Branches</t>
  </si>
  <si>
    <t>TOTAL BID ITEMS</t>
  </si>
  <si>
    <t>######    ANTICIPATED ITEMS   ######</t>
  </si>
  <si>
    <t>Right of Way Monumentation</t>
  </si>
  <si>
    <t>Adjust Water Facilities - Fire Hydrant</t>
  </si>
  <si>
    <t>Adjust Water Facilities - Meter</t>
  </si>
  <si>
    <t>Street Lighting - Upgrade Luminaries</t>
  </si>
  <si>
    <t>Street Lighting - Install Arms and Luminaries</t>
  </si>
  <si>
    <t>Public Relations</t>
  </si>
  <si>
    <t>Railroad Protection Services</t>
  </si>
  <si>
    <t>Rock Excavation</t>
  </si>
  <si>
    <t>Replace Sewer House Branch</t>
  </si>
  <si>
    <t>Stormwater Treatment</t>
  </si>
  <si>
    <t>EP zone Mitigation</t>
  </si>
  <si>
    <t>TOTAL ANTICIPATED ITEMS</t>
  </si>
  <si>
    <t>SCHEDULE SUMMARY</t>
  </si>
  <si>
    <t>BID ITEMS</t>
  </si>
  <si>
    <t>ANTICIPATED ITEMS</t>
  </si>
  <si>
    <t>SUBTOTAL</t>
  </si>
  <si>
    <t>CONSTRUCTION CONTINGENCY (5%)</t>
  </si>
  <si>
    <t>TOTAL CONSTRUCTION</t>
  </si>
  <si>
    <t>PROJECT MANAGEMENT (5%)</t>
  </si>
  <si>
    <t>DESIGN ENGINEERING (25%)</t>
  </si>
  <si>
    <t>CONSTRUCTION MANAGEMENT (15%)</t>
  </si>
  <si>
    <t>RIGHT-OF-WAY &amp; PROPERTY ACQUISITION</t>
  </si>
  <si>
    <t>RIGHT-OF-WAY CONTINGENCY ( 20%)</t>
  </si>
  <si>
    <t>TOTAL PROJECT MANAGEMENT, ENGINEERING, &amp; R/W</t>
  </si>
  <si>
    <t>SUBTOTAL CONTRACT, ENGINEERING, R/W</t>
  </si>
  <si>
    <t>TOTAL PROJECT ESTIMATE</t>
  </si>
  <si>
    <t>PROJECT BUDGET</t>
  </si>
  <si>
    <r>
      <t xml:space="preserve">Temporary Protection &amp; Dir. of Traffic </t>
    </r>
    <r>
      <rPr>
        <sz val="10"/>
        <color indexed="12"/>
        <rFont val="Arial"/>
        <family val="2"/>
      </rPr>
      <t>(4%)</t>
    </r>
  </si>
  <si>
    <r>
      <t xml:space="preserve">Removal of Structures &amp; Obstructions </t>
    </r>
    <r>
      <rPr>
        <sz val="10"/>
        <color indexed="12"/>
        <rFont val="Arial"/>
        <family val="2"/>
      </rPr>
      <t>(3%)</t>
    </r>
  </si>
  <si>
    <r>
      <t>ESTIMATE CONTINGENCY</t>
    </r>
    <r>
      <rPr>
        <sz val="10"/>
        <color indexed="12"/>
        <rFont val="Arial"/>
        <family val="2"/>
      </rPr>
      <t xml:space="preserve"> (20%)</t>
    </r>
  </si>
  <si>
    <r>
      <t>OVERHEAD</t>
    </r>
    <r>
      <rPr>
        <sz val="10"/>
        <color indexed="10"/>
        <rFont val="Arial"/>
        <family val="2"/>
      </rPr>
      <t xml:space="preserve"> </t>
    </r>
    <r>
      <rPr>
        <sz val="10"/>
        <color indexed="12"/>
        <rFont val="Arial"/>
        <family val="2"/>
      </rPr>
      <t>(VARIES 25% TO 40%)</t>
    </r>
  </si>
  <si>
    <t>gutting entire road</t>
  </si>
  <si>
    <t>one each end</t>
  </si>
  <si>
    <t>860' x 2</t>
  </si>
  <si>
    <t>Byrant Property</t>
  </si>
  <si>
    <t>10% of area = 860'x46'x0.10</t>
  </si>
  <si>
    <t xml:space="preserve">PHC 2 dways = 30' x 10' x 2 </t>
  </si>
  <si>
    <t>6 Inch Concrete Surfacing</t>
  </si>
  <si>
    <t>Concrete Stairs</t>
  </si>
  <si>
    <t>Concrete Sidewalk Ramps</t>
  </si>
  <si>
    <t>Concrete Bus Shelter Pad</t>
  </si>
  <si>
    <t>Unit Pavers</t>
  </si>
  <si>
    <t>Concrete Pavers</t>
  </si>
  <si>
    <t>See 158th Ave Proj</t>
  </si>
  <si>
    <t>(860' x 8" x 2) + (860' x 4" x 2) + (860' x 9' / 24' x 2)</t>
  </si>
  <si>
    <t>Assume $70 each</t>
  </si>
  <si>
    <t>Assume $114 each</t>
  </si>
  <si>
    <t>Assume 6 signs x 9 sf</t>
  </si>
  <si>
    <t>PGE will relocate poles</t>
  </si>
  <si>
    <t>Embank = .5BH = 550' x 30' / 2 x 2 sides / 43560</t>
  </si>
  <si>
    <t>Embank = .5BH = 550' x 30' / 2 x 6" / 12 / 27 x 2 sides</t>
  </si>
  <si>
    <t>860' / 30' x 2</t>
  </si>
  <si>
    <t>860' x 4' x 4" / 12 / 27 x 2</t>
  </si>
  <si>
    <t>Stormwater Sewrs and Treatment</t>
  </si>
  <si>
    <t>Adjusted BES number</t>
  </si>
  <si>
    <t>FH at PHC</t>
  </si>
  <si>
    <t>PGE relocate 7 poles</t>
  </si>
  <si>
    <t>Remove Existing Slough Crossing (Culvert)</t>
  </si>
  <si>
    <t>BES Costs</t>
  </si>
  <si>
    <t>Mobilization</t>
  </si>
  <si>
    <t>Traffic Control</t>
  </si>
  <si>
    <t>Construction Costs (adjusted)</t>
  </si>
  <si>
    <t>Construction</t>
  </si>
  <si>
    <t>Construction Estimate</t>
  </si>
  <si>
    <t>Project Work - Street Items</t>
  </si>
  <si>
    <t>Project Work - Storm Items</t>
  </si>
  <si>
    <t>Special Work - Street Items</t>
  </si>
  <si>
    <t>Engineering</t>
  </si>
  <si>
    <t>Engineering Estimate</t>
  </si>
  <si>
    <t>Design Engineering - Street Items</t>
  </si>
  <si>
    <t>Design Engineering - Storm Items</t>
  </si>
  <si>
    <t>Construction Engineering - Street Items</t>
  </si>
  <si>
    <t>Construction Engineering - Storm Items</t>
  </si>
  <si>
    <t>Project Management</t>
  </si>
  <si>
    <t>Contingency</t>
  </si>
  <si>
    <t>Auditor's Costs</t>
  </si>
  <si>
    <t>LID Construction Fund - Progress Payment Interest</t>
  </si>
  <si>
    <t>LID Construction Fund - Superintendence</t>
  </si>
  <si>
    <t>Recording</t>
  </si>
  <si>
    <t>Overhead</t>
  </si>
  <si>
    <t>24.26% on street items</t>
  </si>
  <si>
    <t>TOTAL PROJECT COSTS</t>
  </si>
  <si>
    <t>Property Owner Share</t>
  </si>
  <si>
    <t>Street Items - Project Work</t>
  </si>
  <si>
    <t>Street Items - Special Work</t>
  </si>
  <si>
    <t>Portland Office of Transportation</t>
  </si>
  <si>
    <t>Absorption of overhead</t>
  </si>
  <si>
    <t>TOTAL PROJECT FUNDING</t>
  </si>
  <si>
    <t>=ROUND(((D14/E16)*'Nth Trapold to Marine'!F221),2)</t>
  </si>
  <si>
    <t>AREA</t>
  </si>
  <si>
    <t>STATE_ID</t>
  </si>
  <si>
    <t>NEW_STATE_</t>
  </si>
  <si>
    <t>RNO</t>
  </si>
  <si>
    <t>OWNER1</t>
  </si>
  <si>
    <t>OWNER2</t>
  </si>
  <si>
    <t>OWNER3</t>
  </si>
  <si>
    <t>OWNERADDR</t>
  </si>
  <si>
    <t>OWNERCITY</t>
  </si>
  <si>
    <t>OWNERSTATE</t>
  </si>
  <si>
    <t>OWNERZIP</t>
  </si>
  <si>
    <t>SITEADDR</t>
  </si>
  <si>
    <t>SITECITY</t>
  </si>
  <si>
    <t>SITE_STATE</t>
  </si>
  <si>
    <t>SITEZIP</t>
  </si>
  <si>
    <t>LEGAL_DESC</t>
  </si>
  <si>
    <t>TAXCODE</t>
  </si>
  <si>
    <t>PROP_CODE</t>
  </si>
  <si>
    <t>PRPCD_DESC</t>
  </si>
  <si>
    <t>LANDUSE</t>
  </si>
  <si>
    <t>YEARBUILT</t>
  </si>
  <si>
    <t>BLDGSQFT</t>
  </si>
  <si>
    <t>BEDROOMS</t>
  </si>
  <si>
    <t>FLOORS</t>
  </si>
  <si>
    <t>UNITS</t>
  </si>
  <si>
    <t>MKTVALYR1</t>
  </si>
  <si>
    <t>LANDVAL1</t>
  </si>
  <si>
    <t>BLDGVAL1</t>
  </si>
  <si>
    <t>TOTALVAL1</t>
  </si>
  <si>
    <t>MKTVALYR2</t>
  </si>
  <si>
    <t>LANDVAL2</t>
  </si>
  <si>
    <t>BLDGVAL2</t>
  </si>
  <si>
    <t>TOTALVAL2</t>
  </si>
  <si>
    <t>MKTVALYR3</t>
  </si>
  <si>
    <t>LANDVAL3</t>
  </si>
  <si>
    <t>BLDGVAL3</t>
  </si>
  <si>
    <t>TOTALVAL3</t>
  </si>
  <si>
    <t>SALEDATE</t>
  </si>
  <si>
    <t>SALEPRICE</t>
  </si>
  <si>
    <t>ACC_STATUS</t>
  </si>
  <si>
    <t>A_T_SQFT</t>
  </si>
  <si>
    <t>A_T_ACRES</t>
  </si>
  <si>
    <t>COUNTY</t>
  </si>
  <si>
    <t>SOURCE</t>
  </si>
  <si>
    <t>PROPERTYID</t>
  </si>
  <si>
    <t>OUT_ORDER</t>
  </si>
  <si>
    <t>1N2E13C   500</t>
  </si>
  <si>
    <t>R942130140</t>
  </si>
  <si>
    <t>TRAPOLD,ALVIN A &amp;</t>
  </si>
  <si>
    <t>DARLENE M</t>
  </si>
  <si>
    <t>P O BOX 30114</t>
  </si>
  <si>
    <t>PORTLAND</t>
  </si>
  <si>
    <t>OR</t>
  </si>
  <si>
    <t>97294-3100</t>
  </si>
  <si>
    <t>97230</t>
  </si>
  <si>
    <t>SECTION 13 1N 2E; TL 500 2.59 ACRES</t>
  </si>
  <si>
    <t>607</t>
  </si>
  <si>
    <t>Vacant Land</t>
  </si>
  <si>
    <t>G2</t>
  </si>
  <si>
    <t>2002</t>
  </si>
  <si>
    <t>M</t>
  </si>
  <si>
    <t>R317110</t>
  </si>
  <si>
    <t>1N2E13C   600</t>
  </si>
  <si>
    <t>R942130110</t>
  </si>
  <si>
    <t>TRAPOLD,THOMAS A</t>
  </si>
  <si>
    <t>14418 NE MARINE DR</t>
  </si>
  <si>
    <t>SECTION 13 1 N 2 E; TL 600 2.00 ACRES</t>
  </si>
  <si>
    <t>Residential Improved</t>
  </si>
  <si>
    <t>RES</t>
  </si>
  <si>
    <t>1950</t>
  </si>
  <si>
    <t>R317107</t>
  </si>
  <si>
    <t>1N2E13C   700</t>
  </si>
  <si>
    <t>R942130130</t>
  </si>
  <si>
    <t>14510 NE MARINE DR</t>
  </si>
  <si>
    <t>SECTION 13 1N 2E; TL 700 1.82 ACRES</t>
  </si>
  <si>
    <t>NB</t>
  </si>
  <si>
    <t>1946</t>
  </si>
  <si>
    <t>R317109</t>
  </si>
  <si>
    <t>1N2E13C   701</t>
  </si>
  <si>
    <t>R942130180</t>
  </si>
  <si>
    <t>TRAPOLD,THOMAS A &amp;</t>
  </si>
  <si>
    <t>TRAPOLD,ALVIN A</t>
  </si>
  <si>
    <t>% TRAPOLD FARMS INC</t>
  </si>
  <si>
    <t>SECTION 13 1N 2E; TL 701 2.36 ACRES</t>
  </si>
  <si>
    <t>R317112</t>
  </si>
  <si>
    <t>1N2E13C   800</t>
  </si>
  <si>
    <t>R942130120</t>
  </si>
  <si>
    <t>PORTLAND CITY OF</t>
  </si>
  <si>
    <t>% BUREAU OF WATER WORKS</t>
  </si>
  <si>
    <t>ENG DIV REAL ESTATE SECTION</t>
  </si>
  <si>
    <t>1120 SW 5TH AVE #609</t>
  </si>
  <si>
    <t>97204-1926</t>
  </si>
  <si>
    <t>5601 NE 148TH AVE</t>
  </si>
  <si>
    <t>SECTION 13 1N 2E; TL 800 1.07 ACRES</t>
  </si>
  <si>
    <t>U</t>
  </si>
  <si>
    <t>Misc Improvements</t>
  </si>
  <si>
    <t>CVCL</t>
  </si>
  <si>
    <t>R317108</t>
  </si>
  <si>
    <t>1N2E24    1500</t>
  </si>
  <si>
    <t>R942240630</t>
  </si>
  <si>
    <t>JPI DEVEL LIMITED PARTNERSHIP&gt;</t>
  </si>
  <si>
    <t>15 SW COLORADO AVE #G</t>
  </si>
  <si>
    <t>BEND</t>
  </si>
  <si>
    <t>97702</t>
  </si>
  <si>
    <t>14811-15009 NE AIRPORT WAY</t>
  </si>
  <si>
    <t>SECTION 24 1 N 2 E; TL 1500 11.98 ACRES</t>
  </si>
  <si>
    <t>WD</t>
  </si>
  <si>
    <t>IND</t>
  </si>
  <si>
    <t>03/01/1996</t>
  </si>
  <si>
    <t>R318577</t>
  </si>
  <si>
    <t>1N2E24B   100</t>
  </si>
  <si>
    <t>R942240450</t>
  </si>
  <si>
    <t>PORTLAND HABILITATION CENTER I</t>
  </si>
  <si>
    <t>5312 NE 148TH AVE</t>
  </si>
  <si>
    <t>97230-3438</t>
  </si>
  <si>
    <t>SECTION 24 1N 2E; TL 100 13.05 ACRES</t>
  </si>
  <si>
    <t>MC</t>
  </si>
  <si>
    <t>WHSE General/Light MFG&gt;15000 SF</t>
  </si>
  <si>
    <t>08/01/1994</t>
  </si>
  <si>
    <t>R318563</t>
  </si>
  <si>
    <t>1N2E24B   1900</t>
  </si>
  <si>
    <t>P200012613</t>
  </si>
  <si>
    <t>TRAPOLD FARMS</t>
  </si>
  <si>
    <t>97294</t>
  </si>
  <si>
    <t>MFD STRUCT SERIAL # UNKNOWN, X # 012613 ON REAL ACCT 1N2E24B   -01900, PERSONAL MS, MANUFACTURED HOME ON REAL PROPERTY</t>
  </si>
  <si>
    <t>MF</t>
  </si>
  <si>
    <t>WHSE Wholesale/Showroom</t>
  </si>
  <si>
    <t>1962</t>
  </si>
  <si>
    <t>M352931</t>
  </si>
  <si>
    <t>1N2E24B   400</t>
  </si>
  <si>
    <t>R942240760</t>
  </si>
  <si>
    <t>L &amp; W INVESTMENTS</t>
  </si>
  <si>
    <t>% DON WALTER</t>
  </si>
  <si>
    <t>18000 SE SUNNYSIDE RD</t>
  </si>
  <si>
    <t>BORING</t>
  </si>
  <si>
    <t>97009</t>
  </si>
  <si>
    <t>5131 NE 148TH AVE</t>
  </si>
  <si>
    <t>SECTION 24 1 N 2 E; TL 400 1.17 ACRES</t>
  </si>
  <si>
    <t>GA</t>
  </si>
  <si>
    <t>Industrial General</t>
  </si>
  <si>
    <t>R318583</t>
  </si>
  <si>
    <t>1N2E24B   500</t>
  </si>
  <si>
    <t>R942240160</t>
  </si>
  <si>
    <t>5211 NE 148TH AVE</t>
  </si>
  <si>
    <t>SECTION 24 1 N 2 E; TL 500 0.96 ACRES</t>
  </si>
  <si>
    <t>R318541</t>
  </si>
  <si>
    <t>1N2E24B   600</t>
  </si>
  <si>
    <t>R942240380</t>
  </si>
  <si>
    <t>BRYANT L L C</t>
  </si>
  <si>
    <t>% BRYANT,GUY P</t>
  </si>
  <si>
    <t>6027 SE MAIN ST</t>
  </si>
  <si>
    <t>97215-2812</t>
  </si>
  <si>
    <t>5303 NE 148TH AVE</t>
  </si>
  <si>
    <t>SECTION 24 1 N 2 E; TL 600 2.87 ACRES</t>
  </si>
  <si>
    <t>NA</t>
  </si>
  <si>
    <t>1925</t>
  </si>
  <si>
    <t>12/01/1995</t>
  </si>
  <si>
    <t>R318556</t>
  </si>
  <si>
    <t>1N2E24B   700</t>
  </si>
  <si>
    <t>R942240310</t>
  </si>
  <si>
    <t>5211 WI/ NE 148TH AVE</t>
  </si>
  <si>
    <t>SECTION 24 1 N 2 E; TL 700 7.64 ACRES</t>
  </si>
  <si>
    <t>1960</t>
  </si>
  <si>
    <t>R318552</t>
  </si>
  <si>
    <t>Rate/L.F.:</t>
  </si>
  <si>
    <t>Linear Footage</t>
  </si>
  <si>
    <t>Rate per assessable L.F.:</t>
  </si>
  <si>
    <r>
      <t>B</t>
    </r>
    <r>
      <rPr>
        <sz val="10"/>
        <rFont val="Arial"/>
        <family val="2"/>
      </rPr>
      <t xml:space="preserve"> - Government property; automatically counted in favor.</t>
    </r>
  </si>
  <si>
    <r>
      <t>A</t>
    </r>
    <r>
      <rPr>
        <sz val="10"/>
        <rFont val="Arial"/>
        <family val="2"/>
      </rPr>
      <t xml:space="preserve"> - Linear footage estimated without benefit of survey; may be adjusted in the Final Assessment Ordinance upon completion of survey.</t>
    </r>
  </si>
  <si>
    <t>Project</t>
  </si>
  <si>
    <t>Extra Work</t>
  </si>
  <si>
    <t>Preliminary Estimate</t>
  </si>
  <si>
    <t>D</t>
  </si>
  <si>
    <r>
      <t>C</t>
    </r>
    <r>
      <rPr>
        <sz val="10"/>
        <rFont val="Arial"/>
        <family val="2"/>
      </rPr>
      <t xml:space="preserve"> - 76,358 square feet of this property is in an environmental protection zone overlay and is therefore exempted from assessment.</t>
    </r>
  </si>
  <si>
    <t>Assessment Recap:</t>
  </si>
  <si>
    <t>Prologis/Trapold/Bryant:</t>
  </si>
  <si>
    <t>PHC Industries:</t>
  </si>
  <si>
    <t>Portland Water Bureau:</t>
  </si>
  <si>
    <t>JPI + L&amp;W:</t>
  </si>
  <si>
    <t>Rate/S.F.:</t>
  </si>
  <si>
    <t>Liens</t>
  </si>
  <si>
    <t>Valuation Ratio</t>
  </si>
  <si>
    <t>A, F</t>
  </si>
  <si>
    <t>C, E</t>
  </si>
  <si>
    <r>
      <t>D</t>
    </r>
    <r>
      <rPr>
        <sz val="10"/>
        <rFont val="Arial"/>
        <family val="2"/>
      </rPr>
      <t xml:space="preserve"> - 50% of the assessment for properties identified in </t>
    </r>
    <r>
      <rPr>
        <b/>
        <sz val="10"/>
        <rFont val="Arial"/>
        <family val="2"/>
      </rPr>
      <t>F</t>
    </r>
    <r>
      <rPr>
        <sz val="10"/>
        <rFont val="Arial"/>
        <family val="2"/>
      </rPr>
      <t xml:space="preserve"> will be apportioned to these properties if Prologis voluntarily signs a waiver.</t>
    </r>
  </si>
  <si>
    <r>
      <t>E</t>
    </r>
    <r>
      <rPr>
        <sz val="10"/>
        <rFont val="Arial"/>
        <family val="2"/>
      </rPr>
      <t xml:space="preserve"> - 50% of the assessment for properties identified in </t>
    </r>
    <r>
      <rPr>
        <b/>
        <sz val="10"/>
        <rFont val="Arial"/>
        <family val="2"/>
      </rPr>
      <t>F</t>
    </r>
    <r>
      <rPr>
        <sz val="10"/>
        <rFont val="Arial"/>
        <family val="2"/>
      </rPr>
      <t xml:space="preserve"> will be apportioned to this property if Portland Habilitation Center voluntarily signs a waiver.</t>
    </r>
  </si>
  <si>
    <r>
      <t>F</t>
    </r>
    <r>
      <rPr>
        <sz val="10"/>
        <rFont val="Arial"/>
        <family val="2"/>
      </rPr>
      <t xml:space="preserve"> - Assessment for these properties will be spread among properties identified in </t>
    </r>
    <r>
      <rPr>
        <b/>
        <sz val="10"/>
        <rFont val="Arial"/>
        <family val="2"/>
      </rPr>
      <t>D</t>
    </r>
    <r>
      <rPr>
        <sz val="10"/>
        <rFont val="Arial"/>
        <family val="2"/>
      </rPr>
      <t xml:space="preserve"> and </t>
    </r>
    <r>
      <rPr>
        <b/>
        <sz val="10"/>
        <rFont val="Arial"/>
        <family val="2"/>
      </rPr>
      <t>E</t>
    </r>
    <r>
      <rPr>
        <sz val="10"/>
        <rFont val="Arial"/>
        <family val="2"/>
      </rPr>
      <t xml:space="preserve"> respectively, if Prologis and Portland Habilitation Center voluntarily sign waivers.</t>
    </r>
  </si>
  <si>
    <r>
      <t>ESTIMATE CONTINGENCY</t>
    </r>
    <r>
      <rPr>
        <sz val="10"/>
        <color indexed="12"/>
        <rFont val="Arial"/>
        <family val="2"/>
      </rPr>
      <t xml:space="preserve"> (30%)</t>
    </r>
  </si>
  <si>
    <t>G</t>
  </si>
  <si>
    <r>
      <t>G</t>
    </r>
    <r>
      <rPr>
        <sz val="10"/>
        <rFont val="Arial"/>
        <family val="2"/>
      </rPr>
      <t xml:space="preserve"> - Estimated assessment area includes result of lot line adjustment.</t>
    </r>
  </si>
  <si>
    <t>covered by ProLogis petition and waiver</t>
  </si>
  <si>
    <t>OWNER</t>
  </si>
  <si>
    <t>Actual SF</t>
  </si>
  <si>
    <t>Assessable SF</t>
  </si>
  <si>
    <t>Petition Support</t>
  </si>
  <si>
    <t>Withdrawn Petition Support</t>
  </si>
  <si>
    <t>None</t>
  </si>
  <si>
    <t>Waiver Support</t>
  </si>
  <si>
    <t>Government Support</t>
  </si>
  <si>
    <t>No Support</t>
  </si>
  <si>
    <t>TOTAL:</t>
  </si>
  <si>
    <t>Total Support</t>
  </si>
  <si>
    <t>Assessable LF</t>
  </si>
  <si>
    <t>Actual LF</t>
  </si>
  <si>
    <t>2003</t>
  </si>
  <si>
    <t>2004</t>
  </si>
  <si>
    <t>TRAPOLD,THOMAS A TR</t>
  </si>
  <si>
    <t>(FBO ELLY M TRAPOLD TRUST&gt;</t>
  </si>
  <si>
    <t>Reallocated</t>
  </si>
  <si>
    <t>R942240420</t>
  </si>
  <si>
    <t>Percent of Project Total:</t>
  </si>
  <si>
    <t>Properties</t>
  </si>
  <si>
    <t>Asssessable SF</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</si>
</sst>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quot;#,##0.00"/>
    <numFmt numFmtId="166" formatCode="&quot;$&quot;#,##0.0000000"/>
    <numFmt numFmtId="167" formatCode="&quot;$&quot;#,##0"/>
    <numFmt numFmtId="168" formatCode="0.0%"/>
    <numFmt numFmtId="169" formatCode="_(&quot;$&quot;* #,##0.0_);_(&quot;$&quot;* \(#,##0.0\);_(&quot;$&quot;* &quot;-&quot;?_);_(@_)"/>
    <numFmt numFmtId="170" formatCode="_(&quot;$&quot;* #,##0.000_);_(&quot;$&quot;* \(#,##0.000\);_(&quot;$&quot;* &quot;-&quot;??_);_(@_)"/>
    <numFmt numFmtId="171" formatCode="_(&quot;$&quot;* #,##0.0000_);_(&quot;$&quot;* \(#,##0.0000\);_(&quot;$&quot;* &quot;-&quot;??_);_(@_)"/>
    <numFmt numFmtId="172" formatCode="_(&quot;$&quot;* #,##0.00000_);_(&quot;$&quot;* \(#,##0.00000\);_(&quot;$&quot;* &quot;-&quot;??_);_(@_)"/>
    <numFmt numFmtId="173" formatCode="0.0"/>
    <numFmt numFmtId="174" formatCode="0.000%"/>
    <numFmt numFmtId="175" formatCode="0.0000000000"/>
    <numFmt numFmtId="176" formatCode="0.00000000000"/>
    <numFmt numFmtId="177" formatCode="0.000000000"/>
    <numFmt numFmtId="178" formatCode="0.00000000"/>
    <numFmt numFmtId="179" formatCode="0.0000000"/>
    <numFmt numFmtId="180" formatCode="0.000000"/>
    <numFmt numFmtId="181" formatCode="0.0000"/>
    <numFmt numFmtId="182" formatCode="0.000"/>
    <numFmt numFmtId="183" formatCode="0.00\ \f\t"/>
    <numFmt numFmtId="184" formatCode="_(* #,##0.000_);_(* \(#,##0.000\);_(* &quot;-&quot;??_);_(@_)"/>
    <numFmt numFmtId="185" formatCode="_(* #,##0.0000_);_(* \(#,##0.0000\);_(* &quot;-&quot;??_);_(@_)"/>
    <numFmt numFmtId="186" formatCode="_(* #,##0.00000_);_(* \(#,##0.00000\);_(* &quot;-&quot;??_);_(@_)"/>
    <numFmt numFmtId="187" formatCode="_(* #,##0.0_);_(* \(#,##0.0\);_(* &quot;-&quot;??_);_(@_)"/>
    <numFmt numFmtId="188" formatCode="_(* #,##0_);_(* \(#,##0\);_(* &quot;-&quot;??_);_(@_)"/>
    <numFmt numFmtId="189" formatCode="00000"/>
    <numFmt numFmtId="190" formatCode="#,###,###,##0.00"/>
    <numFmt numFmtId="191" formatCode="###,###,###,##0.00\ ;\(###,###,###,##0.00\)"/>
    <numFmt numFmtId="192" formatCode="###,###,###,##0.00"/>
    <numFmt numFmtId="193" formatCode="_(&quot;$&quot;* #,##0.0_);_(&quot;$&quot;* \(#,##0.0\);_(&quot;$&quot;* &quot;-&quot;??_);_(@_)"/>
    <numFmt numFmtId="194" formatCode="_(&quot;$&quot;* #,##0_);_(&quot;$&quot;* \(#,##0\);_(&quot;$&quot;* &quot;-&quot;??_);_(@_)"/>
    <numFmt numFmtId="195" formatCode="00000\-0000"/>
    <numFmt numFmtId="196" formatCode="&quot;$&quot;#,##0.0_);\(&quot;$&quot;#,##0.0\)"/>
    <numFmt numFmtId="197" formatCode="0###"/>
    <numFmt numFmtId="198" formatCode="#,##0.0_);\(#,##0.0\)"/>
    <numFmt numFmtId="199" formatCode="0000"/>
    <numFmt numFmtId="200" formatCode="#,##0.000"/>
    <numFmt numFmtId="201" formatCode="&quot;$&quot;#,##0.000"/>
    <numFmt numFmtId="202" formatCode="_(&quot;$&quot;* #,##0.0000_);_(&quot;$&quot;* \(#,##0.0000\);_(&quot;$&quot;* &quot;-&quot;????_);_(@_)"/>
    <numFmt numFmtId="203" formatCode="_(&quot;$&quot;* #,##0.0000000_);_(&quot;$&quot;* \(#,##0.0000000\);_(&quot;$&quot;* &quot;-&quot;???????_);_(@_)"/>
    <numFmt numFmtId="204" formatCode="0.00000000_)"/>
    <numFmt numFmtId="205" formatCode="#,##0.00000000_);\(#,##0.00000000\)"/>
    <numFmt numFmtId="206" formatCode="&quot;$&quot;#,##0.000000_);\(&quot;$&quot;#,##0.000000\)"/>
    <numFmt numFmtId="207" formatCode="0.00_)"/>
    <numFmt numFmtId="208" formatCode="mm/dd/yy_)"/>
    <numFmt numFmtId="209" formatCode="0.0000%"/>
    <numFmt numFmtId="210" formatCode="0.000000%"/>
    <numFmt numFmtId="211" formatCode="0_)"/>
    <numFmt numFmtId="212" formatCode="&quot;$&quot;#,##0.000000"/>
    <numFmt numFmtId="213" formatCode="0.00_);\(0.00\)"/>
    <numFmt numFmtId="214" formatCode="#,##0.000_);\(#,##0.000\)"/>
    <numFmt numFmtId="215" formatCode="&quot;$&quot;#,##0.00;\(&quot;$&quot;#,##0.00\)"/>
    <numFmt numFmtId="216" formatCode="#,##0.0000000000000"/>
    <numFmt numFmtId="217" formatCode="_(&quot;$&quot;* #,##0.00000_);_(&quot;$&quot;* \(#,##0.00000\);_(&quot;$&quot;* &quot;-&quot;?????_);_(@_)"/>
    <numFmt numFmtId="218" formatCode="&quot;S&quot;0"/>
    <numFmt numFmtId="219" formatCode="0.0000000000000000%"/>
    <numFmt numFmtId="220" formatCode="#,##0.0"/>
    <numFmt numFmtId="221" formatCode="_(&quot;$&quot;* #,##0.00000000_);_(&quot;$&quot;* \(#,##0.00000000\);_(&quot;$&quot;* &quot;-&quot;????????_);_(@_)"/>
  </numFmts>
  <fonts count="19">
    <font>
      <sz val="10"/>
      <name val="Arial"/>
      <family val="0"/>
    </font>
    <font>
      <u val="single"/>
      <sz val="7.5"/>
      <color indexed="12"/>
      <name val="Arial"/>
      <family val="0"/>
    </font>
    <font>
      <sz val="10"/>
      <color indexed="8"/>
      <name val="MS Sans Serif"/>
      <family val="0"/>
    </font>
    <font>
      <sz val="12"/>
      <name val="Arial"/>
      <family val="0"/>
    </font>
    <font>
      <b/>
      <sz val="10"/>
      <name val="Arial"/>
      <family val="2"/>
    </font>
    <font>
      <i/>
      <sz val="10"/>
      <name val="Arial"/>
      <family val="2"/>
    </font>
    <font>
      <sz val="10"/>
      <color indexed="56"/>
      <name val="Arial"/>
      <family val="2"/>
    </font>
    <font>
      <b/>
      <sz val="10"/>
      <name val="Impact"/>
      <family val="0"/>
    </font>
    <font>
      <b/>
      <i/>
      <sz val="10"/>
      <name val="Arial"/>
      <family val="2"/>
    </font>
    <font>
      <sz val="10"/>
      <color indexed="12"/>
      <name val="Arial"/>
      <family val="2"/>
    </font>
    <font>
      <sz val="10"/>
      <color indexed="8"/>
      <name val="Arial"/>
      <family val="2"/>
    </font>
    <font>
      <sz val="10"/>
      <color indexed="23"/>
      <name val="Arial"/>
      <family val="2"/>
    </font>
    <font>
      <sz val="10"/>
      <color indexed="10"/>
      <name val="Arial"/>
      <family val="2"/>
    </font>
    <font>
      <b/>
      <sz val="12"/>
      <name val="Arial"/>
      <family val="2"/>
    </font>
    <font>
      <b/>
      <sz val="8"/>
      <name val="Arial"/>
      <family val="2"/>
    </font>
    <font>
      <sz val="16"/>
      <name val="Arial"/>
      <family val="2"/>
    </font>
    <font>
      <sz val="11"/>
      <name val="Arial"/>
      <family val="2"/>
    </font>
    <font>
      <u val="single"/>
      <sz val="10"/>
      <name val="Arial"/>
      <family val="2"/>
    </font>
    <font>
      <b/>
      <sz val="10"/>
      <color indexed="8"/>
      <name val="Arial"/>
      <family val="2"/>
    </font>
  </fonts>
  <fills count="7">
    <fill>
      <patternFill/>
    </fill>
    <fill>
      <patternFill patternType="gray125"/>
    </fill>
    <fill>
      <patternFill patternType="solid">
        <fgColor indexed="65"/>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s>
  <borders count="5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hair"/>
    </border>
    <border>
      <left style="hair"/>
      <right style="hair"/>
      <top style="hair"/>
      <bottom style="hair"/>
    </border>
    <border>
      <left>
        <color indexed="63"/>
      </left>
      <right>
        <color indexed="63"/>
      </right>
      <top>
        <color indexed="63"/>
      </top>
      <bottom style="double"/>
    </border>
    <border>
      <left style="thin"/>
      <right style="thin"/>
      <top style="thin"/>
      <bottom style="thin"/>
    </border>
    <border>
      <left style="thick"/>
      <right style="thick"/>
      <top style="thick"/>
      <bottom style="thick"/>
    </border>
    <border>
      <left style="thin"/>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style="thin">
        <color indexed="22"/>
      </top>
      <bottom style="thin">
        <color indexed="22"/>
      </bottom>
    </border>
    <border>
      <left style="medium"/>
      <right>
        <color indexed="63"/>
      </right>
      <top style="thin">
        <color indexed="22"/>
      </top>
      <bottom>
        <color indexed="63"/>
      </bottom>
    </border>
    <border>
      <left>
        <color indexed="63"/>
      </left>
      <right>
        <color indexed="63"/>
      </right>
      <top style="thin">
        <color indexed="22"/>
      </top>
      <bottom>
        <color indexed="63"/>
      </bottom>
    </border>
    <border>
      <left>
        <color indexed="63"/>
      </left>
      <right style="medium"/>
      <top style="thin">
        <color indexed="22"/>
      </top>
      <bottom>
        <color indexed="63"/>
      </bottom>
    </border>
    <border>
      <left>
        <color indexed="63"/>
      </left>
      <right>
        <color indexed="63"/>
      </right>
      <top style="thin">
        <color indexed="22"/>
      </top>
      <bottom style="thin">
        <color indexed="22"/>
      </bottom>
    </border>
    <border>
      <left style="medium"/>
      <right>
        <color indexed="63"/>
      </right>
      <top style="thin">
        <color indexed="22"/>
      </top>
      <bottom style="medium"/>
    </border>
    <border>
      <left>
        <color indexed="63"/>
      </left>
      <right>
        <color indexed="63"/>
      </right>
      <top style="thin">
        <color indexed="22"/>
      </top>
      <bottom style="medium"/>
    </border>
    <border>
      <left>
        <color indexed="63"/>
      </left>
      <right style="medium"/>
      <top style="thin">
        <color indexed="22"/>
      </top>
      <bottom style="medium"/>
    </border>
    <border>
      <left style="thin">
        <color indexed="8"/>
      </left>
      <right style="thin">
        <color indexed="8"/>
      </right>
      <top style="thin">
        <color indexed="8"/>
      </top>
      <bottom style="thin">
        <color indexed="8"/>
      </bottom>
    </border>
    <border>
      <left style="medium"/>
      <right>
        <color indexed="63"/>
      </right>
      <top style="thin">
        <color indexed="8"/>
      </top>
      <bottom style="thin">
        <color indexed="22"/>
      </bottom>
    </border>
    <border>
      <left>
        <color indexed="63"/>
      </left>
      <right style="thin">
        <color indexed="22"/>
      </right>
      <top style="thin">
        <color indexed="8"/>
      </top>
      <bottom style="thin">
        <color indexed="22"/>
      </bottom>
    </border>
    <border>
      <left style="medium"/>
      <right>
        <color indexed="63"/>
      </right>
      <top style="thin">
        <color indexed="22"/>
      </top>
      <bottom style="thin">
        <color indexed="22"/>
      </bottom>
    </border>
    <border>
      <left>
        <color indexed="63"/>
      </left>
      <right style="medium"/>
      <top style="thin">
        <color indexed="22"/>
      </top>
      <bottom style="thin">
        <color indexed="22"/>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273">
    <xf numFmtId="0" fontId="0" fillId="0" borderId="0" xfId="0" applyAlignment="1">
      <alignment/>
    </xf>
    <xf numFmtId="0" fontId="4" fillId="0" borderId="0" xfId="0" applyFont="1" applyAlignment="1">
      <alignment/>
    </xf>
    <xf numFmtId="9" fontId="0" fillId="0" borderId="0" xfId="22" applyAlignment="1">
      <alignment horizontal="left"/>
    </xf>
    <xf numFmtId="0" fontId="4" fillId="0" borderId="1" xfId="0" applyFont="1" applyBorder="1" applyAlignment="1">
      <alignment/>
    </xf>
    <xf numFmtId="0" fontId="4" fillId="0" borderId="2" xfId="0" applyFont="1" applyBorder="1" applyAlignment="1">
      <alignment/>
    </xf>
    <xf numFmtId="0" fontId="0" fillId="0" borderId="2" xfId="0" applyBorder="1" applyAlignment="1">
      <alignment/>
    </xf>
    <xf numFmtId="0" fontId="4" fillId="0" borderId="3" xfId="0" applyFont="1" applyBorder="1" applyAlignment="1">
      <alignment/>
    </xf>
    <xf numFmtId="0" fontId="4" fillId="0" borderId="0" xfId="0" applyFont="1" applyBorder="1" applyAlignment="1">
      <alignment/>
    </xf>
    <xf numFmtId="0" fontId="0" fillId="0" borderId="0" xfId="0" applyBorder="1" applyAlignment="1">
      <alignmen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5" xfId="0" applyBorder="1" applyAlignment="1">
      <alignment/>
    </xf>
    <xf numFmtId="0" fontId="4" fillId="0" borderId="8" xfId="0" applyFont="1" applyBorder="1" applyAlignment="1">
      <alignment/>
    </xf>
    <xf numFmtId="0" fontId="4" fillId="0" borderId="5" xfId="0" applyFont="1" applyBorder="1" applyAlignment="1">
      <alignment/>
    </xf>
    <xf numFmtId="0" fontId="4" fillId="0" borderId="9" xfId="0" applyFont="1" applyBorder="1" applyAlignment="1">
      <alignment horizontal="center"/>
    </xf>
    <xf numFmtId="0" fontId="4" fillId="0" borderId="10" xfId="0" applyFont="1" applyBorder="1" applyAlignment="1">
      <alignment horizontal="center"/>
    </xf>
    <xf numFmtId="0" fontId="0" fillId="0" borderId="3" xfId="0" applyFont="1" applyBorder="1" applyAlignment="1">
      <alignment horizontal="left"/>
    </xf>
    <xf numFmtId="1" fontId="0" fillId="0" borderId="0" xfId="0" applyNumberFormat="1" applyBorder="1" applyAlignment="1">
      <alignment/>
    </xf>
    <xf numFmtId="3" fontId="0" fillId="0" borderId="11" xfId="0" applyNumberFormat="1" applyBorder="1" applyAlignment="1">
      <alignment/>
    </xf>
    <xf numFmtId="3" fontId="0" fillId="0" borderId="0" xfId="0" applyNumberFormat="1" applyBorder="1" applyAlignment="1">
      <alignment/>
    </xf>
    <xf numFmtId="168" fontId="0" fillId="0" borderId="0" xfId="22" applyNumberFormat="1" applyBorder="1" applyAlignment="1">
      <alignment horizontal="right"/>
    </xf>
    <xf numFmtId="168" fontId="0" fillId="0" borderId="12" xfId="22" applyNumberFormat="1" applyBorder="1" applyAlignment="1">
      <alignment/>
    </xf>
    <xf numFmtId="7" fontId="0" fillId="0" borderId="0" xfId="0" applyNumberFormat="1" applyFont="1" applyFill="1" applyBorder="1" applyAlignment="1">
      <alignment horizontal="center"/>
    </xf>
    <xf numFmtId="44" fontId="0" fillId="0" borderId="0" xfId="17" applyBorder="1" applyAlignment="1">
      <alignment/>
    </xf>
    <xf numFmtId="0" fontId="0" fillId="0" borderId="0" xfId="0" applyFill="1" applyBorder="1" applyAlignment="1">
      <alignment/>
    </xf>
    <xf numFmtId="42" fontId="0" fillId="0" borderId="0" xfId="17" applyNumberFormat="1" applyFill="1" applyBorder="1" applyAlignment="1">
      <alignment/>
    </xf>
    <xf numFmtId="42" fontId="0" fillId="0" borderId="0" xfId="17" applyNumberFormat="1" applyFont="1" applyBorder="1" applyAlignment="1">
      <alignment/>
    </xf>
    <xf numFmtId="3" fontId="0" fillId="0" borderId="0" xfId="0" applyNumberFormat="1" applyAlignment="1">
      <alignment/>
    </xf>
    <xf numFmtId="44" fontId="0" fillId="0" borderId="0" xfId="0" applyNumberFormat="1" applyAlignment="1">
      <alignment/>
    </xf>
    <xf numFmtId="0" fontId="0" fillId="0" borderId="8" xfId="0" applyFont="1" applyBorder="1" applyAlignment="1">
      <alignment horizontal="left"/>
    </xf>
    <xf numFmtId="1" fontId="0" fillId="0" borderId="5"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4" fillId="0" borderId="5" xfId="0" applyNumberFormat="1" applyFont="1" applyBorder="1" applyAlignment="1">
      <alignment horizontal="center"/>
    </xf>
    <xf numFmtId="168" fontId="0" fillId="0" borderId="5" xfId="22" applyNumberFormat="1" applyBorder="1" applyAlignment="1">
      <alignment horizontal="right"/>
    </xf>
    <xf numFmtId="168" fontId="0" fillId="0" borderId="13" xfId="22" applyNumberFormat="1" applyBorder="1" applyAlignment="1">
      <alignment/>
    </xf>
    <xf numFmtId="44" fontId="0" fillId="0" borderId="4" xfId="17" applyBorder="1" applyAlignment="1">
      <alignment/>
    </xf>
    <xf numFmtId="0" fontId="0" fillId="0" borderId="5" xfId="0" applyFill="1" applyBorder="1" applyAlignment="1">
      <alignment/>
    </xf>
    <xf numFmtId="42" fontId="0" fillId="0" borderId="5" xfId="17" applyNumberFormat="1" applyFill="1" applyBorder="1" applyAlignment="1">
      <alignment/>
    </xf>
    <xf numFmtId="42" fontId="0" fillId="0" borderId="5" xfId="17" applyNumberFormat="1" applyFont="1" applyBorder="1" applyAlignment="1">
      <alignment/>
    </xf>
    <xf numFmtId="0" fontId="4" fillId="0" borderId="14" xfId="0" applyFont="1" applyBorder="1" applyAlignment="1">
      <alignment horizontal="left"/>
    </xf>
    <xf numFmtId="0" fontId="0" fillId="0" borderId="15" xfId="0" applyBorder="1" applyAlignment="1">
      <alignment/>
    </xf>
    <xf numFmtId="3" fontId="4" fillId="0" borderId="16" xfId="0" applyNumberFormat="1" applyFont="1" applyBorder="1" applyAlignment="1">
      <alignment/>
    </xf>
    <xf numFmtId="3" fontId="4" fillId="0" borderId="15" xfId="0" applyNumberFormat="1" applyFont="1" applyBorder="1" applyAlignment="1">
      <alignment/>
    </xf>
    <xf numFmtId="168" fontId="4" fillId="0" borderId="15" xfId="0" applyNumberFormat="1" applyFont="1" applyBorder="1" applyAlignment="1">
      <alignment/>
    </xf>
    <xf numFmtId="168" fontId="4" fillId="0" borderId="17" xfId="0" applyNumberFormat="1" applyFont="1" applyBorder="1" applyAlignment="1">
      <alignment/>
    </xf>
    <xf numFmtId="44" fontId="4" fillId="0" borderId="16" xfId="0" applyNumberFormat="1" applyFont="1" applyBorder="1" applyAlignment="1">
      <alignment/>
    </xf>
    <xf numFmtId="42" fontId="4" fillId="0" borderId="15" xfId="0" applyNumberFormat="1" applyFont="1" applyBorder="1" applyAlignment="1">
      <alignment/>
    </xf>
    <xf numFmtId="44" fontId="0" fillId="0" borderId="0" xfId="0" applyNumberFormat="1" applyAlignment="1" quotePrefix="1">
      <alignment/>
    </xf>
    <xf numFmtId="9" fontId="0" fillId="0" borderId="0" xfId="22" applyNumberFormat="1" applyAlignment="1">
      <alignment horizontal="left"/>
    </xf>
    <xf numFmtId="0" fontId="4" fillId="0" borderId="9" xfId="0" applyFont="1" applyBorder="1" applyAlignment="1">
      <alignment/>
    </xf>
    <xf numFmtId="0" fontId="4" fillId="0" borderId="6" xfId="0" applyFont="1" applyBorder="1" applyAlignment="1">
      <alignment/>
    </xf>
    <xf numFmtId="168" fontId="0" fillId="0" borderId="12" xfId="22" applyNumberFormat="1" applyBorder="1" applyAlignment="1">
      <alignment horizontal="right"/>
    </xf>
    <xf numFmtId="168" fontId="0" fillId="0" borderId="0" xfId="0" applyNumberFormat="1" applyBorder="1" applyAlignment="1">
      <alignment horizontal="right"/>
    </xf>
    <xf numFmtId="168" fontId="0" fillId="0" borderId="5" xfId="0" applyNumberFormat="1" applyFont="1" applyBorder="1" applyAlignment="1">
      <alignment horizontal="right"/>
    </xf>
    <xf numFmtId="168" fontId="0" fillId="0" borderId="13" xfId="22" applyNumberFormat="1" applyBorder="1" applyAlignment="1">
      <alignment horizontal="right"/>
    </xf>
    <xf numFmtId="0" fontId="4" fillId="0" borderId="0" xfId="0" applyFont="1" applyBorder="1" applyAlignment="1">
      <alignment horizontal="left"/>
    </xf>
    <xf numFmtId="173" fontId="5" fillId="0" borderId="0" xfId="0" applyNumberFormat="1" applyFont="1" applyBorder="1" applyAlignment="1">
      <alignment horizontal="right"/>
    </xf>
    <xf numFmtId="0" fontId="0" fillId="0" borderId="0" xfId="0" applyFont="1" applyBorder="1" applyAlignment="1">
      <alignment horizontal="center"/>
    </xf>
    <xf numFmtId="0" fontId="6" fillId="0" borderId="0" xfId="0" applyFont="1" applyBorder="1" applyAlignment="1">
      <alignment/>
    </xf>
    <xf numFmtId="0" fontId="0" fillId="0" borderId="0" xfId="0" applyBorder="1" applyAlignment="1">
      <alignment/>
    </xf>
    <xf numFmtId="49" fontId="4" fillId="0" borderId="0" xfId="0" applyNumberFormat="1" applyFont="1" applyBorder="1" applyAlignment="1">
      <alignment horizontal="center"/>
    </xf>
    <xf numFmtId="0" fontId="7" fillId="0" borderId="0" xfId="0" applyFont="1" applyBorder="1" applyAlignment="1">
      <alignment horizontal="centerContinuous"/>
    </xf>
    <xf numFmtId="49" fontId="4" fillId="0" borderId="0" xfId="0" applyNumberFormat="1" applyFont="1" applyBorder="1" applyAlignment="1">
      <alignment horizontal="centerContinuous"/>
    </xf>
    <xf numFmtId="49" fontId="0" fillId="0" borderId="0" xfId="0" applyNumberFormat="1" applyFont="1" applyBorder="1" applyAlignment="1">
      <alignment horizontal="center"/>
    </xf>
    <xf numFmtId="49" fontId="0" fillId="0" borderId="0" xfId="0" applyNumberFormat="1" applyBorder="1" applyAlignment="1">
      <alignment horizontal="centerContinuous"/>
    </xf>
    <xf numFmtId="0" fontId="0" fillId="0" borderId="0" xfId="0" applyBorder="1" applyAlignment="1">
      <alignment horizontal="centerContinuous"/>
    </xf>
    <xf numFmtId="49" fontId="8" fillId="2" borderId="0" xfId="0" applyNumberFormat="1" applyFont="1" applyFill="1" applyBorder="1" applyAlignment="1">
      <alignment horizontal="centerContinuous"/>
    </xf>
    <xf numFmtId="49" fontId="0" fillId="2" borderId="0" xfId="0" applyNumberFormat="1" applyFont="1" applyFill="1" applyBorder="1" applyAlignment="1">
      <alignment horizontal="center"/>
    </xf>
    <xf numFmtId="0" fontId="5" fillId="2" borderId="0" xfId="0" applyFont="1" applyFill="1" applyBorder="1" applyAlignment="1">
      <alignment horizontal="centerContinuous"/>
    </xf>
    <xf numFmtId="0" fontId="0" fillId="0" borderId="0" xfId="0"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4" fontId="0" fillId="0" borderId="0" xfId="0" applyNumberFormat="1" applyFill="1" applyBorder="1" applyAlignment="1">
      <alignment/>
    </xf>
    <xf numFmtId="44" fontId="0" fillId="0" borderId="0" xfId="0" applyNumberFormat="1" applyFont="1" applyBorder="1" applyAlignment="1">
      <alignment/>
    </xf>
    <xf numFmtId="44" fontId="0" fillId="0" borderId="0" xfId="0" applyNumberFormat="1" applyFont="1" applyFill="1" applyBorder="1" applyAlignment="1">
      <alignment/>
    </xf>
    <xf numFmtId="44" fontId="0" fillId="0" borderId="0" xfId="17" applyFont="1" applyFill="1" applyBorder="1" applyAlignment="1">
      <alignment/>
    </xf>
    <xf numFmtId="4" fontId="0" fillId="0" borderId="18" xfId="0" applyNumberFormat="1" applyFont="1" applyFill="1" applyBorder="1" applyAlignment="1">
      <alignment/>
    </xf>
    <xf numFmtId="0" fontId="0" fillId="0" borderId="0" xfId="0" applyFill="1" applyBorder="1" applyAlignment="1">
      <alignment/>
    </xf>
    <xf numFmtId="44" fontId="9" fillId="0" borderId="0" xfId="0" applyNumberFormat="1" applyFont="1" applyBorder="1" applyAlignment="1">
      <alignment/>
    </xf>
    <xf numFmtId="44" fontId="0" fillId="0" borderId="0" xfId="0" applyNumberFormat="1" applyFill="1" applyBorder="1" applyAlignment="1">
      <alignment/>
    </xf>
    <xf numFmtId="7" fontId="0" fillId="0" borderId="0" xfId="0" applyNumberFormat="1" applyFill="1" applyBorder="1" applyAlignment="1">
      <alignment horizontal="center"/>
    </xf>
    <xf numFmtId="44" fontId="0" fillId="0" borderId="0" xfId="17" applyFill="1" applyBorder="1" applyAlignment="1">
      <alignment/>
    </xf>
    <xf numFmtId="4" fontId="0" fillId="0" borderId="18" xfId="0" applyNumberFormat="1" applyFill="1" applyBorder="1" applyAlignment="1">
      <alignment/>
    </xf>
    <xf numFmtId="44" fontId="0" fillId="0" borderId="0" xfId="17" applyNumberFormat="1" applyFill="1" applyBorder="1" applyAlignment="1">
      <alignment/>
    </xf>
    <xf numFmtId="4" fontId="0" fillId="0" borderId="19" xfId="0" applyNumberFormat="1" applyFill="1" applyBorder="1" applyAlignment="1">
      <alignment/>
    </xf>
    <xf numFmtId="2" fontId="0" fillId="0" borderId="19" xfId="0" applyNumberFormat="1" applyFill="1" applyBorder="1" applyAlignment="1">
      <alignment/>
    </xf>
    <xf numFmtId="0" fontId="0" fillId="0" borderId="0" xfId="0" applyFill="1" applyBorder="1" applyAlignment="1">
      <alignment horizontal="center"/>
    </xf>
    <xf numFmtId="2" fontId="0" fillId="0" borderId="0" xfId="0" applyNumberFormat="1" applyFill="1" applyBorder="1" applyAlignment="1">
      <alignment/>
    </xf>
    <xf numFmtId="0" fontId="0" fillId="0" borderId="0" xfId="0" applyFill="1" applyAlignment="1">
      <alignment/>
    </xf>
    <xf numFmtId="44" fontId="4" fillId="0" borderId="0" xfId="0" applyNumberFormat="1" applyFont="1" applyFill="1" applyBorder="1" applyAlignment="1">
      <alignment/>
    </xf>
    <xf numFmtId="44" fontId="4" fillId="0" borderId="0" xfId="17" applyNumberFormat="1" applyFont="1" applyFill="1" applyBorder="1" applyAlignment="1">
      <alignment/>
    </xf>
    <xf numFmtId="4" fontId="0" fillId="0" borderId="0" xfId="0" applyNumberFormat="1" applyFont="1" applyFill="1" applyBorder="1" applyAlignment="1">
      <alignment/>
    </xf>
    <xf numFmtId="44" fontId="0" fillId="0" borderId="0" xfId="17" applyNumberFormat="1" applyFont="1" applyFill="1" applyBorder="1" applyAlignment="1">
      <alignment/>
    </xf>
    <xf numFmtId="44" fontId="10" fillId="0" borderId="0" xfId="0" applyNumberFormat="1"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center"/>
    </xf>
    <xf numFmtId="44" fontId="10" fillId="0" borderId="0" xfId="17" applyNumberFormat="1" applyFont="1" applyFill="1" applyBorder="1" applyAlignment="1">
      <alignment/>
    </xf>
    <xf numFmtId="0" fontId="10" fillId="0" borderId="0" xfId="0" applyFont="1" applyFill="1" applyBorder="1" applyAlignment="1">
      <alignment/>
    </xf>
    <xf numFmtId="7" fontId="11" fillId="0" borderId="0" xfId="0" applyNumberFormat="1" applyFont="1" applyFill="1" applyBorder="1" applyAlignment="1">
      <alignment horizontal="center"/>
    </xf>
    <xf numFmtId="44" fontId="11" fillId="0" borderId="0" xfId="17" applyFont="1" applyFill="1" applyBorder="1" applyAlignment="1">
      <alignment/>
    </xf>
    <xf numFmtId="0" fontId="11" fillId="0" borderId="0" xfId="0" applyFont="1" applyFill="1" applyBorder="1" applyAlignment="1">
      <alignment/>
    </xf>
    <xf numFmtId="0" fontId="0" fillId="0" borderId="0" xfId="0" applyBorder="1" applyAlignment="1">
      <alignment horizontal="left"/>
    </xf>
    <xf numFmtId="44" fontId="0" fillId="0" borderId="0" xfId="0" applyNumberFormat="1" applyBorder="1" applyAlignment="1">
      <alignment/>
    </xf>
    <xf numFmtId="7" fontId="0" fillId="0" borderId="0" xfId="0" applyNumberFormat="1" applyBorder="1" applyAlignment="1">
      <alignment horizontal="center"/>
    </xf>
    <xf numFmtId="7" fontId="0" fillId="0" borderId="0" xfId="0" applyNumberFormat="1" applyBorder="1" applyAlignment="1">
      <alignment/>
    </xf>
    <xf numFmtId="0" fontId="0" fillId="2" borderId="0" xfId="0" applyFill="1" applyBorder="1" applyAlignment="1">
      <alignment horizontal="center"/>
    </xf>
    <xf numFmtId="0" fontId="0" fillId="2" borderId="0" xfId="0" applyFill="1" applyBorder="1" applyAlignment="1">
      <alignment horizontal="centerContinuous"/>
    </xf>
    <xf numFmtId="0" fontId="0" fillId="0" borderId="0" xfId="0" applyFont="1" applyBorder="1" applyAlignment="1">
      <alignment/>
    </xf>
    <xf numFmtId="4" fontId="0" fillId="0" borderId="0" xfId="0" applyNumberFormat="1" applyBorder="1" applyAlignment="1">
      <alignment/>
    </xf>
    <xf numFmtId="2" fontId="0" fillId="0" borderId="0" xfId="0" applyNumberFormat="1" applyBorder="1" applyAlignment="1">
      <alignment/>
    </xf>
    <xf numFmtId="0" fontId="4" fillId="0" borderId="0" xfId="0" applyFont="1" applyBorder="1" applyAlignment="1">
      <alignment/>
    </xf>
    <xf numFmtId="0" fontId="4" fillId="0" borderId="0" xfId="0" applyFont="1" applyBorder="1" applyAlignment="1">
      <alignment/>
    </xf>
    <xf numFmtId="44" fontId="4" fillId="0" borderId="0" xfId="0" applyNumberFormat="1" applyFont="1" applyBorder="1" applyAlignment="1">
      <alignment/>
    </xf>
    <xf numFmtId="0" fontId="4" fillId="0" borderId="0" xfId="0" applyFont="1" applyBorder="1" applyAlignment="1">
      <alignment/>
    </xf>
    <xf numFmtId="0" fontId="0"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4" fontId="4" fillId="0" borderId="0" xfId="0" applyNumberFormat="1" applyFont="1" applyFill="1" applyBorder="1" applyAlignment="1">
      <alignment/>
    </xf>
    <xf numFmtId="7" fontId="4" fillId="0" borderId="0" xfId="0" applyNumberFormat="1" applyFont="1" applyFill="1" applyBorder="1" applyAlignment="1">
      <alignment horizontal="center"/>
    </xf>
    <xf numFmtId="44" fontId="4" fillId="0" borderId="0" xfId="17" applyFont="1" applyFill="1" applyBorder="1" applyAlignment="1">
      <alignment/>
    </xf>
    <xf numFmtId="0" fontId="15" fillId="0" borderId="0" xfId="0" applyFont="1" applyBorder="1" applyAlignment="1">
      <alignment/>
    </xf>
    <xf numFmtId="44" fontId="8" fillId="0" borderId="0" xfId="0" applyNumberFormat="1" applyFont="1" applyBorder="1" applyAlignment="1">
      <alignment/>
    </xf>
    <xf numFmtId="49" fontId="4" fillId="0" borderId="0" xfId="0" applyNumberFormat="1" applyFont="1" applyAlignment="1">
      <alignment horizontal="centerContinuous"/>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20" xfId="0" applyFont="1" applyBorder="1" applyAlignment="1">
      <alignment/>
    </xf>
    <xf numFmtId="0" fontId="13"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16" fillId="0" borderId="0" xfId="0" applyFont="1" applyAlignment="1">
      <alignment/>
    </xf>
    <xf numFmtId="0" fontId="3" fillId="0" borderId="0" xfId="0" applyFont="1" applyAlignment="1">
      <alignment vertical="top" wrapText="1"/>
    </xf>
    <xf numFmtId="44" fontId="3" fillId="0" borderId="0" xfId="17" applyNumberFormat="1" applyFont="1" applyFill="1" applyBorder="1" applyAlignment="1" quotePrefix="1">
      <alignment/>
    </xf>
    <xf numFmtId="9" fontId="0" fillId="0" borderId="0" xfId="22" applyFont="1" applyAlignment="1">
      <alignment/>
    </xf>
    <xf numFmtId="44" fontId="3" fillId="3" borderId="0" xfId="17" applyNumberFormat="1" applyFont="1" applyFill="1" applyBorder="1" applyAlignment="1" quotePrefix="1">
      <alignment/>
    </xf>
    <xf numFmtId="44" fontId="3" fillId="0" borderId="0" xfId="17" applyNumberFormat="1" applyFont="1" applyFill="1" applyBorder="1" applyAlignment="1">
      <alignment/>
    </xf>
    <xf numFmtId="44" fontId="3" fillId="0" borderId="0" xfId="17" applyFont="1" applyBorder="1" applyAlignment="1">
      <alignment/>
    </xf>
    <xf numFmtId="44" fontId="3" fillId="0" borderId="21" xfId="17" applyFont="1" applyBorder="1" applyAlignment="1">
      <alignment/>
    </xf>
    <xf numFmtId="44" fontId="0" fillId="0" borderId="0" xfId="0" applyNumberFormat="1" applyFont="1" applyAlignment="1">
      <alignment/>
    </xf>
    <xf numFmtId="0" fontId="13" fillId="0" borderId="0" xfId="0" applyFont="1" applyAlignment="1">
      <alignment/>
    </xf>
    <xf numFmtId="165" fontId="3" fillId="0" borderId="0" xfId="0" applyNumberFormat="1" applyFont="1" applyAlignment="1">
      <alignment/>
    </xf>
    <xf numFmtId="44" fontId="3" fillId="0" borderId="0" xfId="17" applyFont="1" applyAlignment="1">
      <alignment/>
    </xf>
    <xf numFmtId="44" fontId="3" fillId="0" borderId="21" xfId="17" applyNumberFormat="1" applyFont="1" applyBorder="1" applyAlignment="1">
      <alignment/>
    </xf>
    <xf numFmtId="44" fontId="3" fillId="0" borderId="0" xfId="0" applyNumberFormat="1" applyFont="1" applyAlignment="1">
      <alignment/>
    </xf>
    <xf numFmtId="44" fontId="3" fillId="0" borderId="21" xfId="17" applyFont="1" applyFill="1" applyBorder="1" applyAlignment="1">
      <alignment/>
    </xf>
    <xf numFmtId="44" fontId="13" fillId="0" borderId="22" xfId="17" applyFont="1" applyBorder="1" applyAlignment="1">
      <alignment/>
    </xf>
    <xf numFmtId="44" fontId="3" fillId="0" borderId="0" xfId="17" applyNumberFormat="1" applyFont="1" applyBorder="1" applyAlignment="1">
      <alignment/>
    </xf>
    <xf numFmtId="221" fontId="0" fillId="0" borderId="0" xfId="0" applyNumberFormat="1" applyAlignment="1" quotePrefix="1">
      <alignment/>
    </xf>
    <xf numFmtId="3" fontId="4" fillId="0" borderId="0" xfId="0" applyNumberFormat="1" applyFont="1" applyBorder="1" applyAlignment="1">
      <alignment horizontal="center"/>
    </xf>
    <xf numFmtId="44" fontId="4" fillId="0" borderId="0" xfId="0" applyNumberFormat="1" applyFont="1" applyAlignment="1">
      <alignment/>
    </xf>
    <xf numFmtId="3" fontId="4" fillId="0" borderId="0" xfId="0" applyNumberFormat="1" applyFont="1" applyAlignment="1">
      <alignment/>
    </xf>
    <xf numFmtId="42" fontId="4" fillId="0" borderId="0" xfId="0" applyNumberFormat="1" applyFont="1" applyAlignment="1">
      <alignment/>
    </xf>
    <xf numFmtId="173" fontId="4" fillId="0" borderId="0" xfId="0" applyNumberFormat="1" applyFont="1" applyAlignment="1">
      <alignment/>
    </xf>
    <xf numFmtId="44" fontId="0" fillId="0" borderId="5" xfId="17" applyBorder="1" applyAlignment="1">
      <alignment/>
    </xf>
    <xf numFmtId="44" fontId="4" fillId="0" borderId="15" xfId="0" applyNumberFormat="1" applyFont="1" applyBorder="1" applyAlignment="1">
      <alignment/>
    </xf>
    <xf numFmtId="0" fontId="0" fillId="0" borderId="0" xfId="17" applyNumberFormat="1" applyFont="1" applyFill="1" applyBorder="1" applyAlignment="1" quotePrefix="1">
      <alignment/>
    </xf>
    <xf numFmtId="0" fontId="0" fillId="0" borderId="0" xfId="0" applyFont="1" applyBorder="1" applyAlignment="1">
      <alignment horizontal="left"/>
    </xf>
    <xf numFmtId="42" fontId="0" fillId="0" borderId="0" xfId="0" applyNumberFormat="1" applyFont="1" applyAlignment="1">
      <alignment/>
    </xf>
    <xf numFmtId="173" fontId="0" fillId="0" borderId="0" xfId="0" applyNumberFormat="1" applyFont="1" applyAlignment="1">
      <alignment/>
    </xf>
    <xf numFmtId="221" fontId="0" fillId="0" borderId="23" xfId="0" applyNumberFormat="1" applyBorder="1" applyAlignment="1" quotePrefix="1">
      <alignment/>
    </xf>
    <xf numFmtId="44" fontId="0" fillId="0" borderId="23" xfId="0" applyNumberFormat="1" applyBorder="1" applyAlignment="1" quotePrefix="1">
      <alignment/>
    </xf>
    <xf numFmtId="0" fontId="0" fillId="0" borderId="0" xfId="0" applyAlignment="1">
      <alignment horizontal="center"/>
    </xf>
    <xf numFmtId="168" fontId="0" fillId="0" borderId="0" xfId="22" applyNumberFormat="1" applyFont="1" applyAlignment="1" quotePrefix="1">
      <alignment/>
    </xf>
    <xf numFmtId="168" fontId="0" fillId="0" borderId="0" xfId="0" applyNumberFormat="1" applyAlignment="1">
      <alignment/>
    </xf>
    <xf numFmtId="0" fontId="4" fillId="0" borderId="13" xfId="0" applyFont="1" applyBorder="1" applyAlignment="1">
      <alignment horizontal="center"/>
    </xf>
    <xf numFmtId="44" fontId="0" fillId="0" borderId="11" xfId="17" applyBorder="1" applyAlignment="1">
      <alignment/>
    </xf>
    <xf numFmtId="44" fontId="0" fillId="0" borderId="12" xfId="17" applyBorder="1" applyAlignment="1">
      <alignment/>
    </xf>
    <xf numFmtId="44" fontId="0" fillId="0" borderId="13" xfId="17" applyBorder="1" applyAlignment="1">
      <alignment/>
    </xf>
    <xf numFmtId="44" fontId="4" fillId="0" borderId="17" xfId="0" applyNumberFormat="1" applyFont="1" applyBorder="1" applyAlignment="1">
      <alignment/>
    </xf>
    <xf numFmtId="0" fontId="0" fillId="0" borderId="11" xfId="0" applyFill="1" applyBorder="1" applyAlignment="1">
      <alignment/>
    </xf>
    <xf numFmtId="42" fontId="0" fillId="0" borderId="12" xfId="17" applyNumberFormat="1" applyFill="1" applyBorder="1" applyAlignment="1">
      <alignment/>
    </xf>
    <xf numFmtId="0" fontId="0" fillId="0" borderId="4" xfId="0" applyFill="1" applyBorder="1" applyAlignment="1">
      <alignment/>
    </xf>
    <xf numFmtId="42" fontId="0" fillId="0" borderId="13" xfId="17" applyNumberFormat="1" applyFill="1" applyBorder="1" applyAlignment="1">
      <alignment/>
    </xf>
    <xf numFmtId="0" fontId="0" fillId="0" borderId="16" xfId="0" applyBorder="1" applyAlignment="1">
      <alignment/>
    </xf>
    <xf numFmtId="42" fontId="4" fillId="0" borderId="17" xfId="0" applyNumberFormat="1" applyFont="1" applyBorder="1" applyAlignment="1">
      <alignment/>
    </xf>
    <xf numFmtId="173" fontId="0" fillId="0" borderId="24" xfId="0" applyNumberFormat="1" applyBorder="1" applyAlignment="1">
      <alignment horizontal="right"/>
    </xf>
    <xf numFmtId="173" fontId="0" fillId="0" borderId="0" xfId="17" applyNumberFormat="1" applyFont="1" applyBorder="1" applyAlignment="1">
      <alignment horizontal="right"/>
    </xf>
    <xf numFmtId="173" fontId="0" fillId="0" borderId="5" xfId="17" applyNumberFormat="1" applyFont="1" applyBorder="1" applyAlignment="1">
      <alignment horizontal="right"/>
    </xf>
    <xf numFmtId="173" fontId="0" fillId="0" borderId="10" xfId="0" applyNumberFormat="1" applyBorder="1" applyAlignment="1">
      <alignment horizontal="right"/>
    </xf>
    <xf numFmtId="173" fontId="4" fillId="0" borderId="15" xfId="0" applyNumberFormat="1" applyFont="1" applyBorder="1" applyAlignment="1">
      <alignment horizontal="right"/>
    </xf>
    <xf numFmtId="173" fontId="4" fillId="0" borderId="25" xfId="0" applyNumberFormat="1" applyFont="1" applyBorder="1" applyAlignment="1">
      <alignment horizontal="right"/>
    </xf>
    <xf numFmtId="173" fontId="0" fillId="0" borderId="0" xfId="0" applyNumberFormat="1" applyFont="1" applyAlignment="1">
      <alignment horizontal="right"/>
    </xf>
    <xf numFmtId="0" fontId="0" fillId="0" borderId="0" xfId="0" applyAlignment="1">
      <alignment horizontal="right"/>
    </xf>
    <xf numFmtId="44" fontId="9" fillId="4" borderId="0" xfId="0" applyNumberFormat="1" applyFont="1" applyFill="1" applyBorder="1" applyAlignment="1">
      <alignment/>
    </xf>
    <xf numFmtId="44" fontId="0" fillId="0" borderId="0" xfId="17" applyAlignment="1" quotePrefix="1">
      <alignment/>
    </xf>
    <xf numFmtId="0" fontId="0" fillId="5" borderId="0" xfId="0" applyFill="1" applyAlignment="1">
      <alignment/>
    </xf>
    <xf numFmtId="44" fontId="0" fillId="0" borderId="0" xfId="17" applyFont="1" applyFill="1" applyBorder="1" applyAlignment="1" quotePrefix="1">
      <alignment/>
    </xf>
    <xf numFmtId="44" fontId="0" fillId="0" borderId="4" xfId="17" applyFill="1" applyBorder="1" applyAlignment="1">
      <alignment/>
    </xf>
    <xf numFmtId="44" fontId="0" fillId="0" borderId="5" xfId="17" applyFill="1" applyBorder="1" applyAlignment="1">
      <alignment/>
    </xf>
    <xf numFmtId="173" fontId="0" fillId="0" borderId="0" xfId="0" applyNumberFormat="1" applyBorder="1" applyAlignment="1">
      <alignment horizontal="right"/>
    </xf>
    <xf numFmtId="173" fontId="0" fillId="0" borderId="5" xfId="0" applyNumberFormat="1" applyBorder="1" applyAlignment="1">
      <alignment horizontal="right"/>
    </xf>
    <xf numFmtId="0" fontId="0" fillId="0" borderId="3" xfId="0" applyBorder="1" applyAlignment="1">
      <alignment/>
    </xf>
    <xf numFmtId="0" fontId="0" fillId="0" borderId="1" xfId="0" applyBorder="1" applyAlignment="1">
      <alignment/>
    </xf>
    <xf numFmtId="3" fontId="0" fillId="0" borderId="2" xfId="0" applyNumberFormat="1" applyBorder="1" applyAlignment="1">
      <alignment/>
    </xf>
    <xf numFmtId="3" fontId="4" fillId="0" borderId="26" xfId="0" applyNumberFormat="1" applyFont="1" applyBorder="1" applyAlignment="1">
      <alignment horizontal="right"/>
    </xf>
    <xf numFmtId="0" fontId="18" fillId="6" borderId="27" xfId="21" applyFont="1" applyFill="1" applyBorder="1" applyAlignment="1">
      <alignment horizontal="left"/>
      <protection/>
    </xf>
    <xf numFmtId="0" fontId="18" fillId="6" borderId="28" xfId="21" applyFont="1" applyFill="1" applyBorder="1" applyAlignment="1">
      <alignment horizontal="left"/>
      <protection/>
    </xf>
    <xf numFmtId="3" fontId="18" fillId="6" borderId="28" xfId="21" applyNumberFormat="1" applyFont="1" applyFill="1" applyBorder="1" applyAlignment="1">
      <alignment horizontal="center"/>
      <protection/>
    </xf>
    <xf numFmtId="3" fontId="18" fillId="6" borderId="29" xfId="21" applyNumberFormat="1" applyFont="1" applyFill="1" applyBorder="1" applyAlignment="1">
      <alignment horizontal="center"/>
      <protection/>
    </xf>
    <xf numFmtId="3" fontId="10" fillId="0" borderId="30" xfId="21" applyNumberFormat="1" applyFont="1" applyFill="1" applyBorder="1" applyAlignment="1">
      <alignment horizontal="right" wrapText="1"/>
      <protection/>
    </xf>
    <xf numFmtId="3" fontId="10" fillId="0" borderId="31" xfId="21" applyNumberFormat="1" applyFont="1" applyFill="1" applyBorder="1" applyAlignment="1">
      <alignment horizontal="right" wrapText="1"/>
      <protection/>
    </xf>
    <xf numFmtId="3" fontId="10" fillId="0" borderId="32" xfId="21" applyNumberFormat="1" applyFont="1" applyFill="1" applyBorder="1" applyAlignment="1">
      <alignment horizontal="right" wrapText="1"/>
      <protection/>
    </xf>
    <xf numFmtId="3" fontId="10" fillId="0" borderId="30" xfId="21" applyNumberFormat="1" applyFont="1" applyFill="1" applyBorder="1" applyAlignment="1">
      <alignment horizontal="left" wrapText="1"/>
      <protection/>
    </xf>
    <xf numFmtId="3" fontId="10" fillId="0" borderId="31" xfId="21" applyNumberFormat="1" applyFont="1" applyFill="1" applyBorder="1" applyAlignment="1">
      <alignment horizontal="left" wrapText="1"/>
      <protection/>
    </xf>
    <xf numFmtId="0" fontId="10" fillId="0" borderId="30" xfId="21" applyFont="1" applyFill="1" applyBorder="1" applyAlignment="1">
      <alignment horizontal="left" wrapText="1"/>
      <protection/>
    </xf>
    <xf numFmtId="0" fontId="10" fillId="0" borderId="31" xfId="20" applyFont="1" applyFill="1" applyBorder="1" applyAlignment="1">
      <alignment horizontal="left" wrapText="1"/>
      <protection/>
    </xf>
    <xf numFmtId="0" fontId="10" fillId="0" borderId="31" xfId="21" applyFont="1" applyFill="1" applyBorder="1" applyAlignment="1">
      <alignment horizontal="left" wrapText="1"/>
      <protection/>
    </xf>
    <xf numFmtId="3" fontId="10" fillId="0" borderId="30" xfId="21" applyNumberFormat="1" applyFont="1" applyFill="1" applyBorder="1" applyAlignment="1">
      <alignment wrapText="1"/>
      <protection/>
    </xf>
    <xf numFmtId="3" fontId="10" fillId="0" borderId="31" xfId="21" applyNumberFormat="1" applyFont="1" applyFill="1" applyBorder="1" applyAlignment="1">
      <alignment wrapText="1"/>
      <protection/>
    </xf>
    <xf numFmtId="3" fontId="10" fillId="0" borderId="30" xfId="21" applyNumberFormat="1" applyFont="1" applyFill="1" applyBorder="1" applyAlignment="1">
      <alignment wrapText="1"/>
      <protection/>
    </xf>
    <xf numFmtId="0" fontId="10" fillId="0" borderId="31" xfId="20" applyFont="1" applyFill="1" applyBorder="1" applyAlignment="1">
      <alignment horizontal="left" vertical="top" wrapText="1"/>
      <protection/>
    </xf>
    <xf numFmtId="3" fontId="10" fillId="0" borderId="31" xfId="21" applyNumberFormat="1" applyFont="1" applyFill="1" applyBorder="1" applyAlignment="1">
      <alignment horizontal="right" vertical="top" wrapText="1"/>
      <protection/>
    </xf>
    <xf numFmtId="3" fontId="10" fillId="0" borderId="32" xfId="21" applyNumberFormat="1" applyFont="1" applyFill="1" applyBorder="1" applyAlignment="1">
      <alignment horizontal="right" vertical="top" wrapText="1"/>
      <protection/>
    </xf>
    <xf numFmtId="0" fontId="10" fillId="0" borderId="30" xfId="21" applyFont="1" applyFill="1" applyBorder="1" applyAlignment="1">
      <alignment horizontal="left" vertical="top" wrapText="1"/>
      <protection/>
    </xf>
    <xf numFmtId="0" fontId="10" fillId="0" borderId="31" xfId="21" applyFont="1" applyFill="1" applyBorder="1" applyAlignment="1">
      <alignment horizontal="left" vertical="top" wrapText="1"/>
      <protection/>
    </xf>
    <xf numFmtId="3" fontId="10" fillId="0" borderId="33" xfId="21" applyNumberFormat="1" applyFont="1" applyFill="1" applyBorder="1" applyAlignment="1">
      <alignment horizontal="left" wrapText="1"/>
      <protection/>
    </xf>
    <xf numFmtId="3" fontId="10" fillId="0" borderId="34" xfId="21" applyNumberFormat="1" applyFont="1" applyFill="1" applyBorder="1" applyAlignment="1">
      <alignment horizontal="left" wrapText="1"/>
      <protection/>
    </xf>
    <xf numFmtId="3" fontId="10" fillId="0" borderId="34" xfId="21" applyNumberFormat="1" applyFont="1" applyFill="1" applyBorder="1" applyAlignment="1">
      <alignment horizontal="right" wrapText="1"/>
      <protection/>
    </xf>
    <xf numFmtId="3" fontId="10" fillId="0" borderId="35" xfId="21" applyNumberFormat="1" applyFont="1" applyFill="1" applyBorder="1" applyAlignment="1">
      <alignment horizontal="right" wrapText="1"/>
      <protection/>
    </xf>
    <xf numFmtId="3" fontId="18" fillId="0" borderId="33" xfId="21" applyNumberFormat="1" applyFont="1" applyFill="1" applyBorder="1" applyAlignment="1">
      <alignment horizontal="left" wrapText="1"/>
      <protection/>
    </xf>
    <xf numFmtId="3" fontId="18" fillId="0" borderId="36" xfId="21" applyNumberFormat="1" applyFont="1" applyFill="1" applyBorder="1" applyAlignment="1">
      <alignment horizontal="right" wrapText="1"/>
      <protection/>
    </xf>
    <xf numFmtId="3" fontId="18" fillId="0" borderId="35" xfId="21" applyNumberFormat="1" applyFont="1" applyFill="1" applyBorder="1" applyAlignment="1">
      <alignment horizontal="right" wrapText="1"/>
      <protection/>
    </xf>
    <xf numFmtId="3" fontId="18" fillId="0" borderId="33" xfId="21" applyNumberFormat="1" applyFont="1" applyFill="1" applyBorder="1" applyAlignment="1">
      <alignment wrapText="1"/>
      <protection/>
    </xf>
    <xf numFmtId="3" fontId="18" fillId="0" borderId="34" xfId="21" applyNumberFormat="1" applyFont="1" applyFill="1" applyBorder="1" applyAlignment="1">
      <alignment wrapText="1"/>
      <protection/>
    </xf>
    <xf numFmtId="3" fontId="18" fillId="0" borderId="35" xfId="21" applyNumberFormat="1" applyFont="1" applyFill="1" applyBorder="1" applyAlignment="1">
      <alignment wrapText="1"/>
      <protection/>
    </xf>
    <xf numFmtId="3" fontId="18" fillId="0" borderId="34" xfId="21" applyNumberFormat="1" applyFont="1" applyFill="1" applyBorder="1" applyAlignment="1">
      <alignment horizontal="left" wrapText="1"/>
      <protection/>
    </xf>
    <xf numFmtId="3" fontId="18" fillId="0" borderId="35" xfId="21" applyNumberFormat="1" applyFont="1" applyFill="1" applyBorder="1" applyAlignment="1">
      <alignment horizontal="left" wrapText="1"/>
      <protection/>
    </xf>
    <xf numFmtId="3" fontId="10" fillId="0" borderId="33" xfId="21" applyNumberFormat="1" applyFont="1" applyFill="1" applyBorder="1" applyAlignment="1">
      <alignment wrapText="1"/>
      <protection/>
    </xf>
    <xf numFmtId="168" fontId="10" fillId="0" borderId="34" xfId="22" applyNumberFormat="1" applyFont="1" applyFill="1" applyBorder="1" applyAlignment="1">
      <alignment wrapText="1"/>
    </xf>
    <xf numFmtId="3" fontId="10" fillId="0" borderId="34" xfId="21" applyNumberFormat="1" applyFont="1" applyFill="1" applyBorder="1" applyAlignment="1">
      <alignment wrapText="1"/>
      <protection/>
    </xf>
    <xf numFmtId="3" fontId="10" fillId="0" borderId="35" xfId="21" applyNumberFormat="1" applyFont="1" applyFill="1" applyBorder="1" applyAlignment="1">
      <alignment wrapText="1"/>
      <protection/>
    </xf>
    <xf numFmtId="168" fontId="18" fillId="0" borderId="34" xfId="22" applyNumberFormat="1" applyFont="1" applyFill="1" applyBorder="1" applyAlignment="1">
      <alignment wrapText="1"/>
    </xf>
    <xf numFmtId="3" fontId="18" fillId="0" borderId="37" xfId="21" applyNumberFormat="1" applyFont="1" applyFill="1" applyBorder="1" applyAlignment="1">
      <alignment wrapText="1"/>
      <protection/>
    </xf>
    <xf numFmtId="168" fontId="18" fillId="0" borderId="38" xfId="22" applyNumberFormat="1" applyFont="1" applyFill="1" applyBorder="1" applyAlignment="1">
      <alignment wrapText="1"/>
    </xf>
    <xf numFmtId="3" fontId="18" fillId="0" borderId="38" xfId="21" applyNumberFormat="1" applyFont="1" applyFill="1" applyBorder="1" applyAlignment="1">
      <alignment wrapText="1"/>
      <protection/>
    </xf>
    <xf numFmtId="3" fontId="18" fillId="0" borderId="39" xfId="21" applyNumberFormat="1" applyFont="1" applyFill="1" applyBorder="1" applyAlignment="1">
      <alignment wrapText="1"/>
      <protection/>
    </xf>
    <xf numFmtId="0" fontId="0" fillId="0" borderId="14" xfId="0" applyBorder="1" applyAlignment="1">
      <alignment/>
    </xf>
    <xf numFmtId="3" fontId="0" fillId="0" borderId="15" xfId="0" applyNumberFormat="1" applyBorder="1" applyAlignment="1">
      <alignment/>
    </xf>
    <xf numFmtId="3" fontId="0" fillId="0" borderId="25" xfId="0" applyNumberFormat="1" applyBorder="1" applyAlignment="1">
      <alignment/>
    </xf>
    <xf numFmtId="0" fontId="10" fillId="6" borderId="40" xfId="20" applyFont="1" applyFill="1" applyBorder="1" applyAlignment="1">
      <alignment horizontal="center"/>
      <protection/>
    </xf>
    <xf numFmtId="0" fontId="10" fillId="0" borderId="31" xfId="20" applyFont="1" applyFill="1" applyBorder="1" applyAlignment="1">
      <alignment horizontal="right" wrapText="1"/>
      <protection/>
    </xf>
    <xf numFmtId="49" fontId="8" fillId="3" borderId="0" xfId="0" applyNumberFormat="1" applyFont="1" applyFill="1" applyBorder="1" applyAlignment="1">
      <alignment horizontal="center"/>
    </xf>
    <xf numFmtId="0" fontId="10" fillId="0" borderId="0" xfId="20" applyFont="1" applyFill="1" applyBorder="1" applyAlignment="1">
      <alignment horizontal="right" wrapText="1"/>
      <protection/>
    </xf>
    <xf numFmtId="164" fontId="0" fillId="0" borderId="0" xfId="0" applyNumberFormat="1" applyAlignment="1">
      <alignment/>
    </xf>
    <xf numFmtId="1" fontId="0" fillId="0" borderId="0" xfId="0" applyNumberFormat="1" applyAlignment="1">
      <alignment/>
    </xf>
    <xf numFmtId="164" fontId="4" fillId="0" borderId="0" xfId="0" applyNumberFormat="1" applyFont="1" applyAlignment="1">
      <alignment/>
    </xf>
    <xf numFmtId="1" fontId="4" fillId="0" borderId="0" xfId="0" applyNumberFormat="1" applyFont="1" applyAlignment="1">
      <alignment/>
    </xf>
    <xf numFmtId="168" fontId="10" fillId="0" borderId="31" xfId="22" applyNumberFormat="1" applyFont="1" applyFill="1" applyBorder="1" applyAlignment="1">
      <alignment horizontal="right" wrapText="1"/>
    </xf>
    <xf numFmtId="168" fontId="10" fillId="0" borderId="32" xfId="22" applyNumberFormat="1" applyFont="1" applyFill="1" applyBorder="1" applyAlignment="1">
      <alignment horizontal="right" wrapText="1"/>
    </xf>
    <xf numFmtId="3" fontId="10" fillId="0" borderId="31" xfId="20" applyNumberFormat="1" applyFont="1" applyFill="1" applyBorder="1" applyAlignment="1">
      <alignment horizontal="right" wrapText="1"/>
      <protection/>
    </xf>
    <xf numFmtId="3" fontId="18" fillId="0" borderId="31" xfId="21" applyNumberFormat="1" applyFont="1" applyFill="1" applyBorder="1" applyAlignment="1">
      <alignment horizontal="center" wrapText="1"/>
      <protection/>
    </xf>
    <xf numFmtId="3" fontId="18" fillId="0" borderId="41" xfId="21" applyNumberFormat="1" applyFont="1" applyFill="1" applyBorder="1" applyAlignment="1">
      <alignment horizontal="left" wrapText="1"/>
      <protection/>
    </xf>
    <xf numFmtId="3" fontId="18" fillId="0" borderId="42" xfId="21" applyNumberFormat="1" applyFont="1" applyFill="1" applyBorder="1" applyAlignment="1">
      <alignment horizontal="left" wrapText="1"/>
      <protection/>
    </xf>
    <xf numFmtId="0" fontId="18" fillId="0" borderId="43" xfId="21" applyFont="1" applyFill="1" applyBorder="1" applyAlignment="1">
      <alignment horizontal="left" wrapText="1"/>
      <protection/>
    </xf>
    <xf numFmtId="0" fontId="18" fillId="0" borderId="36" xfId="21" applyFont="1" applyFill="1" applyBorder="1" applyAlignment="1">
      <alignment horizontal="left" wrapText="1"/>
      <protection/>
    </xf>
    <xf numFmtId="0" fontId="18" fillId="0" borderId="44" xfId="21" applyFont="1" applyFill="1" applyBorder="1" applyAlignment="1">
      <alignment horizontal="left" wrapText="1"/>
      <protection/>
    </xf>
    <xf numFmtId="0" fontId="4" fillId="0" borderId="45"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0" fillId="0" borderId="23" xfId="0" applyBorder="1" applyAlignment="1">
      <alignment horizontal="left"/>
    </xf>
    <xf numFmtId="0" fontId="0" fillId="0" borderId="2" xfId="0" applyBorder="1" applyAlignment="1">
      <alignment horizontal="left"/>
    </xf>
    <xf numFmtId="0" fontId="4" fillId="0" borderId="48" xfId="0" applyFont="1" applyBorder="1" applyAlignment="1">
      <alignment horizontal="center"/>
    </xf>
    <xf numFmtId="0" fontId="4" fillId="0" borderId="49" xfId="0" applyFont="1" applyBorder="1" applyAlignment="1">
      <alignment horizontal="center"/>
    </xf>
    <xf numFmtId="0" fontId="3" fillId="0" borderId="0" xfId="0" applyFont="1" applyAlignment="1">
      <alignment horizontal="left" vertical="top" wrapText="1"/>
    </xf>
    <xf numFmtId="49" fontId="0" fillId="3" borderId="0" xfId="0" applyNumberFormat="1" applyFont="1" applyFill="1" applyBorder="1" applyAlignment="1">
      <alignment horizontal="center"/>
    </xf>
  </cellXfs>
  <cellStyles count="9">
    <cellStyle name="Normal" xfId="0"/>
    <cellStyle name="Comma" xfId="15"/>
    <cellStyle name="Comma [0]" xfId="16"/>
    <cellStyle name="Currency" xfId="17"/>
    <cellStyle name="Currency [0]" xfId="18"/>
    <cellStyle name="Hyperlink" xfId="19"/>
    <cellStyle name="Normal_Petition Support Calculation" xfId="20"/>
    <cellStyle name="Normal_Sheet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5</xdr:col>
      <xdr:colOff>790575</xdr:colOff>
      <xdr:row>0</xdr:row>
      <xdr:rowOff>0</xdr:rowOff>
    </xdr:to>
    <xdr:sp>
      <xdr:nvSpPr>
        <xdr:cNvPr id="1" name="Text 1"/>
        <xdr:cNvSpPr txBox="1">
          <a:spLocks noChangeArrowheads="1"/>
        </xdr:cNvSpPr>
      </xdr:nvSpPr>
      <xdr:spPr>
        <a:xfrm>
          <a:off x="628650" y="0"/>
          <a:ext cx="881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STATEMENT of the various kinds of work performed in the improvement of
4
</a:t>
          </a:r>
        </a:p>
      </xdr:txBody>
    </xdr:sp>
    <xdr:clientData/>
  </xdr:twoCellAnchor>
  <xdr:twoCellAnchor>
    <xdr:from>
      <xdr:col>2</xdr:col>
      <xdr:colOff>428625</xdr:colOff>
      <xdr:row>0</xdr:row>
      <xdr:rowOff>0</xdr:rowOff>
    </xdr:from>
    <xdr:to>
      <xdr:col>5</xdr:col>
      <xdr:colOff>371475</xdr:colOff>
      <xdr:row>0</xdr:row>
      <xdr:rowOff>0</xdr:rowOff>
    </xdr:to>
    <xdr:sp>
      <xdr:nvSpPr>
        <xdr:cNvPr id="2" name="Text 3"/>
        <xdr:cNvSpPr txBox="1">
          <a:spLocks noChangeArrowheads="1"/>
        </xdr:cNvSpPr>
      </xdr:nvSpPr>
      <xdr:spPr>
        <a:xfrm>
          <a:off x="1000125" y="0"/>
          <a:ext cx="8020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APPROVED:
    ______________________________       ___________________
                         CONTRACTOR                                       Date
    ______________________________      ___________________
                    PUBLIC WORKS REP.                               Date</a:t>
          </a:r>
        </a:p>
      </xdr:txBody>
    </xdr:sp>
    <xdr:clientData/>
  </xdr:twoCellAnchor>
  <xdr:twoCellAnchor>
    <xdr:from>
      <xdr:col>0</xdr:col>
      <xdr:colOff>152400</xdr:colOff>
      <xdr:row>0</xdr:row>
      <xdr:rowOff>0</xdr:rowOff>
    </xdr:from>
    <xdr:to>
      <xdr:col>5</xdr:col>
      <xdr:colOff>895350</xdr:colOff>
      <xdr:row>0</xdr:row>
      <xdr:rowOff>0</xdr:rowOff>
    </xdr:to>
    <xdr:sp>
      <xdr:nvSpPr>
        <xdr:cNvPr id="3" name="Text 4"/>
        <xdr:cNvSpPr txBox="1">
          <a:spLocks noChangeArrowheads="1"/>
        </xdr:cNvSpPr>
      </xdr:nvSpPr>
      <xdr:spPr>
        <a:xfrm>
          <a:off x="152400" y="0"/>
          <a:ext cx="9391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I, VICTOR F. RHODES, P.E., City Engineer of said City, hereby certify that the above statement and map, show in detail the correct amounts of all work required to complete the improvement under the above named Ordinance.
Dated:      </a:t>
          </a:r>
          <a:r>
            <a:rPr lang="en-US" cap="none" sz="1000" b="0" i="0" u="sng"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Approved:  ___________________________     Approved:  ____________________________
                           Principal Engineer                                                 City Engineer</a:t>
          </a:r>
        </a:p>
      </xdr:txBody>
    </xdr:sp>
    <xdr:clientData/>
  </xdr:twoCellAnchor>
  <xdr:twoCellAnchor>
    <xdr:from>
      <xdr:col>2</xdr:col>
      <xdr:colOff>809625</xdr:colOff>
      <xdr:row>3</xdr:row>
      <xdr:rowOff>0</xdr:rowOff>
    </xdr:from>
    <xdr:to>
      <xdr:col>5</xdr:col>
      <xdr:colOff>419100</xdr:colOff>
      <xdr:row>8</xdr:row>
      <xdr:rowOff>38100</xdr:rowOff>
    </xdr:to>
    <xdr:sp>
      <xdr:nvSpPr>
        <xdr:cNvPr id="4" name="Rectangle 4"/>
        <xdr:cNvSpPr>
          <a:spLocks/>
        </xdr:cNvSpPr>
      </xdr:nvSpPr>
      <xdr:spPr>
        <a:xfrm>
          <a:off x="1381125" y="542925"/>
          <a:ext cx="7686675"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LOCAL IMPROVEMENT DISTRICT ADMINISTRATOR'S PRELIMINARY ESTIMATE
</a:t>
          </a:r>
          <a:r>
            <a:rPr lang="en-US" cap="none" sz="1200" b="0" i="0" u="none" baseline="0">
              <a:latin typeface="Arial"/>
              <a:ea typeface="Arial"/>
              <a:cs typeface="Arial"/>
            </a:rPr>
            <a:t>of the various kinds of work performed in the street and stormwater improvement of:
</a:t>
          </a:r>
          <a:r>
            <a:rPr lang="en-US" cap="none" sz="1200" b="1" i="0" u="none" baseline="0">
              <a:latin typeface="Arial"/>
              <a:ea typeface="Arial"/>
              <a:cs typeface="Arial"/>
            </a:rPr>
            <a:t>NE 148th Avenue Local Improvement District - Both Segments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5</xdr:col>
      <xdr:colOff>790575</xdr:colOff>
      <xdr:row>0</xdr:row>
      <xdr:rowOff>0</xdr:rowOff>
    </xdr:to>
    <xdr:sp>
      <xdr:nvSpPr>
        <xdr:cNvPr id="1" name="Text 1"/>
        <xdr:cNvSpPr txBox="1">
          <a:spLocks noChangeArrowheads="1"/>
        </xdr:cNvSpPr>
      </xdr:nvSpPr>
      <xdr:spPr>
        <a:xfrm>
          <a:off x="628650" y="0"/>
          <a:ext cx="881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STATEMENT of the various kinds of work performed in the improvement of
4
</a:t>
          </a:r>
        </a:p>
      </xdr:txBody>
    </xdr:sp>
    <xdr:clientData/>
  </xdr:twoCellAnchor>
  <xdr:twoCellAnchor>
    <xdr:from>
      <xdr:col>2</xdr:col>
      <xdr:colOff>428625</xdr:colOff>
      <xdr:row>0</xdr:row>
      <xdr:rowOff>0</xdr:rowOff>
    </xdr:from>
    <xdr:to>
      <xdr:col>5</xdr:col>
      <xdr:colOff>371475</xdr:colOff>
      <xdr:row>0</xdr:row>
      <xdr:rowOff>0</xdr:rowOff>
    </xdr:to>
    <xdr:sp>
      <xdr:nvSpPr>
        <xdr:cNvPr id="2" name="Text 3"/>
        <xdr:cNvSpPr txBox="1">
          <a:spLocks noChangeArrowheads="1"/>
        </xdr:cNvSpPr>
      </xdr:nvSpPr>
      <xdr:spPr>
        <a:xfrm>
          <a:off x="1000125" y="0"/>
          <a:ext cx="8020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APPROVED:
    ______________________________       ___________________
                         CONTRACTOR                                       Date
    ______________________________      ___________________
                    PUBLIC WORKS REP.                               Date</a:t>
          </a:r>
        </a:p>
      </xdr:txBody>
    </xdr:sp>
    <xdr:clientData/>
  </xdr:twoCellAnchor>
  <xdr:twoCellAnchor>
    <xdr:from>
      <xdr:col>0</xdr:col>
      <xdr:colOff>152400</xdr:colOff>
      <xdr:row>0</xdr:row>
      <xdr:rowOff>0</xdr:rowOff>
    </xdr:from>
    <xdr:to>
      <xdr:col>5</xdr:col>
      <xdr:colOff>895350</xdr:colOff>
      <xdr:row>0</xdr:row>
      <xdr:rowOff>0</xdr:rowOff>
    </xdr:to>
    <xdr:sp>
      <xdr:nvSpPr>
        <xdr:cNvPr id="3" name="Text 4"/>
        <xdr:cNvSpPr txBox="1">
          <a:spLocks noChangeArrowheads="1"/>
        </xdr:cNvSpPr>
      </xdr:nvSpPr>
      <xdr:spPr>
        <a:xfrm>
          <a:off x="152400" y="0"/>
          <a:ext cx="9391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I, VICTOR F. RHODES, P.E., City Engineer of said City, hereby certify that the above statement and map, show in detail the correct amounts of all work required to complete the improvement under the above named Ordinance.
Dated:      </a:t>
          </a:r>
          <a:r>
            <a:rPr lang="en-US" cap="none" sz="1000" b="0" i="0" u="sng"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Approved:  ___________________________     Approved:  ____________________________
                           Principal Engineer                                                 City Engineer</a:t>
          </a:r>
        </a:p>
      </xdr:txBody>
    </xdr:sp>
    <xdr:clientData/>
  </xdr:twoCellAnchor>
  <xdr:twoCellAnchor>
    <xdr:from>
      <xdr:col>2</xdr:col>
      <xdr:colOff>809625</xdr:colOff>
      <xdr:row>3</xdr:row>
      <xdr:rowOff>0</xdr:rowOff>
    </xdr:from>
    <xdr:to>
      <xdr:col>5</xdr:col>
      <xdr:colOff>419100</xdr:colOff>
      <xdr:row>8</xdr:row>
      <xdr:rowOff>38100</xdr:rowOff>
    </xdr:to>
    <xdr:sp>
      <xdr:nvSpPr>
        <xdr:cNvPr id="4" name="Rectangle 4"/>
        <xdr:cNvSpPr>
          <a:spLocks/>
        </xdr:cNvSpPr>
      </xdr:nvSpPr>
      <xdr:spPr>
        <a:xfrm>
          <a:off x="1381125" y="542925"/>
          <a:ext cx="7686675"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LOCAL IMPROVEMENT DISTRICT ADMINISTRATOR'S PRELIMINARY ESTIMATE
</a:t>
          </a:r>
          <a:r>
            <a:rPr lang="en-US" cap="none" sz="1200" b="0" i="0" u="none" baseline="0">
              <a:latin typeface="Arial"/>
              <a:ea typeface="Arial"/>
              <a:cs typeface="Arial"/>
            </a:rPr>
            <a:t>of the various kinds of work performed in the street and stormwater improvement of:
</a:t>
          </a:r>
          <a:r>
            <a:rPr lang="en-US" cap="none" sz="1200" b="1" i="0" u="none" baseline="0">
              <a:latin typeface="Arial"/>
              <a:ea typeface="Arial"/>
              <a:cs typeface="Arial"/>
            </a:rPr>
            <a:t>NE 148th Avenue Local Improvement District - South Segment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5</xdr:col>
      <xdr:colOff>790575</xdr:colOff>
      <xdr:row>0</xdr:row>
      <xdr:rowOff>0</xdr:rowOff>
    </xdr:to>
    <xdr:sp>
      <xdr:nvSpPr>
        <xdr:cNvPr id="1" name="Text 1"/>
        <xdr:cNvSpPr txBox="1">
          <a:spLocks noChangeArrowheads="1"/>
        </xdr:cNvSpPr>
      </xdr:nvSpPr>
      <xdr:spPr>
        <a:xfrm>
          <a:off x="628650" y="0"/>
          <a:ext cx="881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STATEMENT of the various kinds of work performed in the improvement of
4
</a:t>
          </a:r>
        </a:p>
      </xdr:txBody>
    </xdr:sp>
    <xdr:clientData/>
  </xdr:twoCellAnchor>
  <xdr:twoCellAnchor>
    <xdr:from>
      <xdr:col>2</xdr:col>
      <xdr:colOff>428625</xdr:colOff>
      <xdr:row>0</xdr:row>
      <xdr:rowOff>0</xdr:rowOff>
    </xdr:from>
    <xdr:to>
      <xdr:col>5</xdr:col>
      <xdr:colOff>371475</xdr:colOff>
      <xdr:row>0</xdr:row>
      <xdr:rowOff>0</xdr:rowOff>
    </xdr:to>
    <xdr:sp>
      <xdr:nvSpPr>
        <xdr:cNvPr id="2" name="Text 3"/>
        <xdr:cNvSpPr txBox="1">
          <a:spLocks noChangeArrowheads="1"/>
        </xdr:cNvSpPr>
      </xdr:nvSpPr>
      <xdr:spPr>
        <a:xfrm>
          <a:off x="1000125" y="0"/>
          <a:ext cx="8020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APPROVED:
    ______________________________       ___________________
                         CONTRACTOR                                       Date
    ______________________________      ___________________
                    PUBLIC WORKS REP.                               Date</a:t>
          </a:r>
        </a:p>
      </xdr:txBody>
    </xdr:sp>
    <xdr:clientData/>
  </xdr:twoCellAnchor>
  <xdr:twoCellAnchor>
    <xdr:from>
      <xdr:col>0</xdr:col>
      <xdr:colOff>152400</xdr:colOff>
      <xdr:row>0</xdr:row>
      <xdr:rowOff>0</xdr:rowOff>
    </xdr:from>
    <xdr:to>
      <xdr:col>5</xdr:col>
      <xdr:colOff>895350</xdr:colOff>
      <xdr:row>0</xdr:row>
      <xdr:rowOff>0</xdr:rowOff>
    </xdr:to>
    <xdr:sp>
      <xdr:nvSpPr>
        <xdr:cNvPr id="3" name="Text 4"/>
        <xdr:cNvSpPr txBox="1">
          <a:spLocks noChangeArrowheads="1"/>
        </xdr:cNvSpPr>
      </xdr:nvSpPr>
      <xdr:spPr>
        <a:xfrm>
          <a:off x="152400" y="0"/>
          <a:ext cx="93916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I, VICTOR F. RHODES, P.E., City Engineer of said City, hereby certify that the above statement and map, show in detail the correct amounts of all work required to complete the improvement under the above named Ordinance.
Dated:      </a:t>
          </a:r>
          <a:r>
            <a:rPr lang="en-US" cap="none" sz="1000" b="0" i="0" u="sng"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t>
          </a:r>
          <a:r>
            <a:rPr lang="en-US" cap="none" sz="1000" b="0" i="0" u="none" baseline="0">
              <a:latin typeface="Arial"/>
              <a:ea typeface="Arial"/>
              <a:cs typeface="Arial"/>
            </a:rPr>
            <a:t>   
Approved:  ___________________________     Approved:  ____________________________
                           Principal Engineer                                                 City Engineer</a:t>
          </a:r>
        </a:p>
      </xdr:txBody>
    </xdr:sp>
    <xdr:clientData/>
  </xdr:twoCellAnchor>
  <xdr:twoCellAnchor>
    <xdr:from>
      <xdr:col>2</xdr:col>
      <xdr:colOff>809625</xdr:colOff>
      <xdr:row>3</xdr:row>
      <xdr:rowOff>0</xdr:rowOff>
    </xdr:from>
    <xdr:to>
      <xdr:col>5</xdr:col>
      <xdr:colOff>419100</xdr:colOff>
      <xdr:row>8</xdr:row>
      <xdr:rowOff>38100</xdr:rowOff>
    </xdr:to>
    <xdr:sp>
      <xdr:nvSpPr>
        <xdr:cNvPr id="4" name="Rectangle 4"/>
        <xdr:cNvSpPr>
          <a:spLocks/>
        </xdr:cNvSpPr>
      </xdr:nvSpPr>
      <xdr:spPr>
        <a:xfrm>
          <a:off x="1381125" y="542925"/>
          <a:ext cx="7686675" cy="847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LOCAL IMPROVEMENT DISTRICT ADMINISTRATOR'S PRELIMINARY ESTIMATE
</a:t>
          </a:r>
          <a:r>
            <a:rPr lang="en-US" cap="none" sz="1200" b="0" i="0" u="none" baseline="0">
              <a:latin typeface="Arial"/>
              <a:ea typeface="Arial"/>
              <a:cs typeface="Arial"/>
            </a:rPr>
            <a:t>of the various kinds of work performed in the street and stormwater improvement of:
</a:t>
          </a:r>
          <a:r>
            <a:rPr lang="en-US" cap="none" sz="1200" b="1" i="0" u="none" baseline="0">
              <a:latin typeface="Arial"/>
              <a:ea typeface="Arial"/>
              <a:cs typeface="Arial"/>
            </a:rPr>
            <a:t>NE 148th Avenue Local Improvement District - North Segment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5</xdr:col>
      <xdr:colOff>866775</xdr:colOff>
      <xdr:row>11</xdr:row>
      <xdr:rowOff>0</xdr:rowOff>
    </xdr:to>
    <xdr:sp>
      <xdr:nvSpPr>
        <xdr:cNvPr id="1" name="Text 1"/>
        <xdr:cNvSpPr txBox="1">
          <a:spLocks noChangeArrowheads="1"/>
        </xdr:cNvSpPr>
      </xdr:nvSpPr>
      <xdr:spPr>
        <a:xfrm>
          <a:off x="38100" y="1085850"/>
          <a:ext cx="6296025" cy="90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Preliminary Engineer's Estimate for the reconstruction of 
</a:t>
          </a:r>
          <a:r>
            <a:rPr lang="en-US" cap="none" sz="1200" b="1" i="0" u="none" baseline="0">
              <a:latin typeface="Arial"/>
              <a:ea typeface="Arial"/>
              <a:cs typeface="Arial"/>
            </a:rPr>
            <a:t>NE 148th Ave from Nth Bdy of Trapold to Marine Dr
</a:t>
          </a:r>
          <a:r>
            <a:rPr lang="en-US" cap="none" sz="800" b="1" i="0" u="none" baseline="0">
              <a:latin typeface="Arial"/>
              <a:ea typeface="Arial"/>
              <a:cs typeface="Arial"/>
            </a:rPr>
            <a:t>some quantities are from NE 148th proj 3153</a:t>
          </a:r>
          <a:r>
            <a:rPr lang="en-US" cap="none" sz="1200" b="1"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5</xdr:col>
      <xdr:colOff>866775</xdr:colOff>
      <xdr:row>11</xdr:row>
      <xdr:rowOff>0</xdr:rowOff>
    </xdr:to>
    <xdr:sp>
      <xdr:nvSpPr>
        <xdr:cNvPr id="1" name="Text 1"/>
        <xdr:cNvSpPr txBox="1">
          <a:spLocks noChangeArrowheads="1"/>
        </xdr:cNvSpPr>
      </xdr:nvSpPr>
      <xdr:spPr>
        <a:xfrm>
          <a:off x="38100" y="1085850"/>
          <a:ext cx="6296025" cy="90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Preliminary Engineer's Estimate for the reconstruction of 
</a:t>
          </a:r>
          <a:r>
            <a:rPr lang="en-US" cap="none" sz="1200" b="1" i="0" u="none" baseline="0">
              <a:latin typeface="Arial"/>
              <a:ea typeface="Arial"/>
              <a:cs typeface="Arial"/>
            </a:rPr>
            <a:t>Trapold Property - 1/2  Road Improvement
</a:t>
          </a:r>
          <a:r>
            <a:rPr lang="en-US" cap="none" sz="800" b="1" i="0" u="none" baseline="0">
              <a:latin typeface="Arial"/>
              <a:ea typeface="Arial"/>
              <a:cs typeface="Arial"/>
            </a:rPr>
            <a:t>some quantities are from NE 148th proj 3153</a:t>
          </a:r>
          <a:r>
            <a:rPr lang="en-US" cap="none" sz="1200" b="1"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_I_Development\2002\NE-SE%20102nd%20Ave%20Weidler%20to%20Wash'g\Estimate%20&amp;%20Propos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terial Pre-Design Estimate"/>
      <sheetName val="Local Pre-Design Estimate"/>
      <sheetName val="PROPOSAL"/>
      <sheetName val="Bid Proposal #1"/>
      <sheetName val="Calc Sheet"/>
      <sheetName val="Work Zo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workbookViewId="0" topLeftCell="A1">
      <selection activeCell="A1" sqref="A1"/>
    </sheetView>
  </sheetViews>
  <sheetFormatPr defaultColWidth="9.140625" defaultRowHeight="12.75" outlineLevelRow="1"/>
  <cols>
    <col min="1" max="1" width="16.28125" style="0" bestFit="1" customWidth="1"/>
    <col min="2" max="2" width="16.28125" style="0" customWidth="1"/>
    <col min="3" max="3" width="70.28125" style="0" bestFit="1" customWidth="1"/>
    <col min="4" max="4" width="9.57421875" style="0" bestFit="1" customWidth="1"/>
    <col min="5" max="5" width="13.7109375" style="0" bestFit="1" customWidth="1"/>
    <col min="6" max="6" width="9.7109375" style="29" bestFit="1" customWidth="1"/>
    <col min="7" max="7" width="13.8515625" style="29" bestFit="1" customWidth="1"/>
  </cols>
  <sheetData>
    <row r="1" spans="1:7" ht="13.5" thickBot="1">
      <c r="A1" s="197"/>
      <c r="B1" s="5"/>
      <c r="C1" s="5"/>
      <c r="D1" s="5"/>
      <c r="E1" s="5"/>
      <c r="F1" s="198"/>
      <c r="G1" s="199"/>
    </row>
    <row r="2" spans="1:7" ht="12.75" customHeight="1">
      <c r="A2" s="200" t="s">
        <v>315</v>
      </c>
      <c r="B2" s="201" t="s">
        <v>317</v>
      </c>
      <c r="C2" s="201" t="s">
        <v>505</v>
      </c>
      <c r="D2" s="201" t="s">
        <v>517</v>
      </c>
      <c r="E2" s="201" t="s">
        <v>516</v>
      </c>
      <c r="F2" s="202" t="s">
        <v>506</v>
      </c>
      <c r="G2" s="203" t="s">
        <v>507</v>
      </c>
    </row>
    <row r="3" spans="1:7" ht="12.75" customHeight="1">
      <c r="A3" s="256" t="s">
        <v>524</v>
      </c>
      <c r="B3" s="257"/>
      <c r="C3" s="205"/>
      <c r="D3" s="255" t="s">
        <v>0</v>
      </c>
      <c r="E3" s="252">
        <f>'Assessment Worksheet'!Q8/'Assessment Worksheet'!Q28</f>
        <v>0.06355196728180677</v>
      </c>
      <c r="F3" s="255" t="s">
        <v>20</v>
      </c>
      <c r="G3" s="253">
        <f>'Assessment Worksheet'!Q24/'Assessment Worksheet'!Q28</f>
        <v>0.9364480327181932</v>
      </c>
    </row>
    <row r="4" spans="1:7" ht="12.75" customHeight="1">
      <c r="A4" s="204"/>
      <c r="B4" s="205"/>
      <c r="C4" s="205"/>
      <c r="D4" s="205"/>
      <c r="E4" s="205"/>
      <c r="F4" s="205"/>
      <c r="G4" s="206"/>
    </row>
    <row r="5" spans="1:7" ht="12.75" customHeight="1">
      <c r="A5" s="258" t="s">
        <v>508</v>
      </c>
      <c r="B5" s="259"/>
      <c r="C5" s="259"/>
      <c r="D5" s="259"/>
      <c r="E5" s="259"/>
      <c r="F5" s="259"/>
      <c r="G5" s="260"/>
    </row>
    <row r="6" spans="1:7" ht="12.75" customHeight="1">
      <c r="A6" s="207" t="str">
        <f>Taxlots_20040430!B2</f>
        <v>1N2E24    1500</v>
      </c>
      <c r="B6" s="208" t="str">
        <f>Taxlots_20040430!D2</f>
        <v>R942240630</v>
      </c>
      <c r="C6" s="208" t="str">
        <f>CONCATENATE(Taxlots_20040430!E2," ",Taxlots_20040430!F2," ",Taxlots_20040430!G2)</f>
        <v>JPI DEVEL LIMITED PARTNERSHIP&gt;  </v>
      </c>
      <c r="D6" s="205">
        <v>38</v>
      </c>
      <c r="E6" s="205">
        <v>0</v>
      </c>
      <c r="F6" s="205">
        <v>0</v>
      </c>
      <c r="G6" s="206">
        <v>0</v>
      </c>
    </row>
    <row r="7" spans="1:7" ht="12.75" customHeight="1">
      <c r="A7" s="207" t="str">
        <f>Taxlots_20040430!B3</f>
        <v>1N2E24B   400</v>
      </c>
      <c r="B7" s="208" t="str">
        <f>Taxlots_20040430!D3</f>
        <v>R942240760</v>
      </c>
      <c r="C7" s="208" t="str">
        <f>CONCATENATE(Taxlots_20040430!E3," ",Taxlots_20040430!F3," ",Taxlots_20040430!G3)</f>
        <v>L &amp; W INVESTMENTS % DON WALTER </v>
      </c>
      <c r="D7" s="205">
        <v>11</v>
      </c>
      <c r="E7" s="205">
        <v>0</v>
      </c>
      <c r="F7" s="205">
        <v>0</v>
      </c>
      <c r="G7" s="206">
        <v>0</v>
      </c>
    </row>
    <row r="8" spans="1:7" ht="12.75" customHeight="1">
      <c r="A8" s="207" t="str">
        <f>Taxlots_20040430!B5</f>
        <v>1N2E13C   500</v>
      </c>
      <c r="B8" s="208" t="str">
        <f>Taxlots_20040430!D5</f>
        <v>R942130140</v>
      </c>
      <c r="C8" s="208" t="str">
        <f>CONCATENATE(Taxlots_20040430!E5," ",Taxlots_20040430!F5," ",Taxlots_20040430!G5)</f>
        <v>TRAPOLD,ALVIN A &amp; DARLENE M </v>
      </c>
      <c r="D8" s="205">
        <v>0</v>
      </c>
      <c r="E8" s="205">
        <v>0</v>
      </c>
      <c r="F8" s="205">
        <v>112953</v>
      </c>
      <c r="G8" s="206">
        <v>112953</v>
      </c>
    </row>
    <row r="9" spans="1:7" ht="12.75" customHeight="1">
      <c r="A9" s="207" t="str">
        <f>Taxlots_20040430!B6</f>
        <v>1N2E13C   600</v>
      </c>
      <c r="B9" s="208" t="str">
        <f>Taxlots_20040430!D6</f>
        <v>R942130110</v>
      </c>
      <c r="C9" s="208" t="str">
        <f>CONCATENATE(Taxlots_20040430!E6," ",Taxlots_20040430!F6," ",Taxlots_20040430!G6)</f>
        <v>TRAPOLD,THOMAS A  </v>
      </c>
      <c r="D9" s="205">
        <v>0</v>
      </c>
      <c r="E9" s="205">
        <v>0</v>
      </c>
      <c r="F9" s="205">
        <v>86864</v>
      </c>
      <c r="G9" s="206">
        <v>86864</v>
      </c>
    </row>
    <row r="10" spans="1:7" ht="12.75" customHeight="1">
      <c r="A10" s="207" t="str">
        <f>Taxlots_20040430!B7</f>
        <v>1N2E13C   700</v>
      </c>
      <c r="B10" s="208" t="str">
        <f>Taxlots_20040430!D7</f>
        <v>R942130130</v>
      </c>
      <c r="C10" s="208" t="str">
        <f>CONCATENATE(Taxlots_20040430!E7," ",Taxlots_20040430!F7," ",Taxlots_20040430!G7)</f>
        <v>TRAPOLD,ALVIN A &amp; DARLENE M </v>
      </c>
      <c r="D10" s="205">
        <v>0</v>
      </c>
      <c r="E10" s="205">
        <v>0</v>
      </c>
      <c r="F10" s="205">
        <v>87214</v>
      </c>
      <c r="G10" s="206">
        <v>87214</v>
      </c>
    </row>
    <row r="11" spans="1:7" ht="12.75" customHeight="1">
      <c r="A11" s="207" t="str">
        <f>Taxlots_20040430!B8</f>
        <v>1N2E13C   701</v>
      </c>
      <c r="B11" s="208" t="str">
        <f>Taxlots_20040430!D8</f>
        <v>R942130180</v>
      </c>
      <c r="C11" s="208" t="str">
        <f>CONCATENATE(Taxlots_20040430!E8," ",Taxlots_20040430!F8," ",Taxlots_20040430!G8)</f>
        <v>TRAPOLD,THOMAS A &amp; TRAPOLD,ALVIN A % TRAPOLD FARMS INC</v>
      </c>
      <c r="D11" s="205">
        <v>0</v>
      </c>
      <c r="E11" s="205">
        <v>0</v>
      </c>
      <c r="F11" s="205">
        <v>98111</v>
      </c>
      <c r="G11" s="206">
        <v>98111</v>
      </c>
    </row>
    <row r="12" spans="1:7" ht="12.75" customHeight="1">
      <c r="A12" s="207" t="str">
        <f>Taxlots_20040430!B10</f>
        <v>1N2E24B   100</v>
      </c>
      <c r="B12" s="208" t="str">
        <f>Taxlots_20040430!D10</f>
        <v>R942240450</v>
      </c>
      <c r="C12" s="208" t="str">
        <f>CONCATENATE(Taxlots_20040430!E10," ",Taxlots_20040430!F10," ",Taxlots_20040430!G10)</f>
        <v>PORTLAND HABILITATION CENTER I  </v>
      </c>
      <c r="D12" s="205">
        <v>0</v>
      </c>
      <c r="E12" s="205">
        <v>0</v>
      </c>
      <c r="F12" s="205">
        <v>563923</v>
      </c>
      <c r="G12" s="206">
        <v>487565</v>
      </c>
    </row>
    <row r="13" spans="1:7" ht="12.75" customHeight="1">
      <c r="A13" s="207" t="str">
        <f>Taxlots_20040430!B11</f>
        <v>1N2E24B   1900</v>
      </c>
      <c r="B13" s="208" t="s">
        <v>523</v>
      </c>
      <c r="C13" s="208" t="str">
        <f>CONCATENATE(Taxlots_20040430!E11," ",Taxlots_20040430!F11," ",Taxlots_20040430!G11)</f>
        <v>TRAPOLD FARMS  </v>
      </c>
      <c r="D13" s="205">
        <v>0</v>
      </c>
      <c r="E13" s="205">
        <v>0</v>
      </c>
      <c r="F13" s="205">
        <v>806739</v>
      </c>
      <c r="G13" s="206">
        <v>806739</v>
      </c>
    </row>
    <row r="14" spans="1:7" ht="12.75" customHeight="1">
      <c r="A14" s="207" t="str">
        <f>Taxlots_20040430!B12</f>
        <v>1N2E24B   600</v>
      </c>
      <c r="B14" s="208" t="str">
        <f>Taxlots_20040430!D12</f>
        <v>R942240380</v>
      </c>
      <c r="C14" s="208" t="str">
        <f>CONCATENATE(Taxlots_20040430!E12," ",Taxlots_20040430!F12," ",Taxlots_20040430!G12)</f>
        <v>BRYANT L L C % BRYANT,GUY P </v>
      </c>
      <c r="D14" s="205">
        <v>0</v>
      </c>
      <c r="E14" s="205">
        <v>0</v>
      </c>
      <c r="F14" s="205">
        <v>124197</v>
      </c>
      <c r="G14" s="206">
        <v>124197</v>
      </c>
    </row>
    <row r="15" spans="1:7" ht="12.75" customHeight="1">
      <c r="A15" s="207" t="str">
        <f>Taxlots_20040430!B13</f>
        <v>1N2E24B   700</v>
      </c>
      <c r="B15" s="208" t="str">
        <f>Taxlots_20040430!D13</f>
        <v>R942240310</v>
      </c>
      <c r="C15" s="208" t="str">
        <f>CONCATENATE(Taxlots_20040430!E13," ",Taxlots_20040430!F13," ",Taxlots_20040430!G13)</f>
        <v>TRAPOLD,THOMAS A TR (FBO ELLY M TRAPOLD TRUST&gt; </v>
      </c>
      <c r="D15" s="205">
        <v>0</v>
      </c>
      <c r="E15" s="205">
        <v>0</v>
      </c>
      <c r="F15" s="205">
        <v>271183</v>
      </c>
      <c r="G15" s="206">
        <v>271628</v>
      </c>
    </row>
    <row r="16" spans="1:7" ht="12.75" customHeight="1">
      <c r="A16" s="209"/>
      <c r="B16" s="210"/>
      <c r="C16" s="211"/>
      <c r="D16" s="211"/>
      <c r="E16" s="211"/>
      <c r="F16" s="205"/>
      <c r="G16" s="206"/>
    </row>
    <row r="17" spans="1:7" ht="12.75" customHeight="1">
      <c r="A17" s="258" t="s">
        <v>509</v>
      </c>
      <c r="B17" s="259"/>
      <c r="C17" s="259"/>
      <c r="D17" s="259"/>
      <c r="E17" s="259"/>
      <c r="F17" s="259"/>
      <c r="G17" s="260"/>
    </row>
    <row r="18" spans="1:7" ht="12.75" customHeight="1">
      <c r="A18" s="212" t="s">
        <v>510</v>
      </c>
      <c r="B18" s="213"/>
      <c r="C18" s="213"/>
      <c r="D18" s="213"/>
      <c r="E18" s="213"/>
      <c r="F18" s="205"/>
      <c r="G18" s="206"/>
    </row>
    <row r="19" spans="1:7" ht="12.75" customHeight="1">
      <c r="A19" s="209"/>
      <c r="B19" s="211"/>
      <c r="C19" s="211"/>
      <c r="D19" s="211"/>
      <c r="E19" s="211"/>
      <c r="F19" s="205"/>
      <c r="G19" s="206"/>
    </row>
    <row r="20" spans="1:7" ht="12.75" customHeight="1">
      <c r="A20" s="258" t="s">
        <v>511</v>
      </c>
      <c r="B20" s="259"/>
      <c r="C20" s="259"/>
      <c r="D20" s="259"/>
      <c r="E20" s="259"/>
      <c r="F20" s="259"/>
      <c r="G20" s="260"/>
    </row>
    <row r="21" spans="1:7" ht="12.75" customHeight="1">
      <c r="A21" s="214" t="s">
        <v>510</v>
      </c>
      <c r="B21" s="210"/>
      <c r="C21" s="211"/>
      <c r="D21" s="211"/>
      <c r="E21" s="211"/>
      <c r="F21" s="205"/>
      <c r="G21" s="206"/>
    </row>
    <row r="22" spans="1:7" ht="12.75" customHeight="1">
      <c r="A22" s="209"/>
      <c r="B22" s="210"/>
      <c r="C22" s="211"/>
      <c r="D22" s="211"/>
      <c r="E22" s="211"/>
      <c r="F22" s="205"/>
      <c r="G22" s="206"/>
    </row>
    <row r="23" spans="1:7" ht="12.75" customHeight="1">
      <c r="A23" s="258" t="s">
        <v>512</v>
      </c>
      <c r="B23" s="259"/>
      <c r="C23" s="259"/>
      <c r="D23" s="259"/>
      <c r="E23" s="259"/>
      <c r="F23" s="259"/>
      <c r="G23" s="260"/>
    </row>
    <row r="24" spans="1:7" ht="12.75" customHeight="1">
      <c r="A24" s="207" t="str">
        <f>Taxlots_20040430!B9</f>
        <v>1N2E13C   800</v>
      </c>
      <c r="B24" s="208" t="str">
        <f>Taxlots_20040430!D9</f>
        <v>R942130120</v>
      </c>
      <c r="C24" s="208" t="str">
        <f>CONCATENATE(Taxlots_20040430!E9," ",Taxlots_20040430!F9," ",Taxlots_20040430!G9)</f>
        <v>PORTLAND CITY OF % BUREAU OF WATER WORKS ENG DIV REAL ESTATE SECTION</v>
      </c>
      <c r="D24" s="205">
        <v>0</v>
      </c>
      <c r="E24" s="205">
        <v>0</v>
      </c>
      <c r="F24" s="205">
        <v>46869</v>
      </c>
      <c r="G24" s="206">
        <v>46869</v>
      </c>
    </row>
    <row r="25" spans="1:7" ht="12.75" customHeight="1">
      <c r="A25" s="218"/>
      <c r="B25" s="215"/>
      <c r="C25" s="219"/>
      <c r="D25" s="219"/>
      <c r="E25" s="219"/>
      <c r="F25" s="216"/>
      <c r="G25" s="217"/>
    </row>
    <row r="26" spans="1:7" ht="12.75" customHeight="1">
      <c r="A26" s="258" t="s">
        <v>513</v>
      </c>
      <c r="B26" s="259"/>
      <c r="C26" s="259"/>
      <c r="D26" s="259"/>
      <c r="E26" s="259"/>
      <c r="F26" s="259"/>
      <c r="G26" s="260"/>
    </row>
    <row r="27" spans="1:7" ht="12.75" customHeight="1">
      <c r="A27" s="207" t="str">
        <f>Taxlots_20040430!B4</f>
        <v>1N2E24B   500</v>
      </c>
      <c r="B27" s="208" t="str">
        <f>Taxlots_20040430!D4</f>
        <v>R942240160</v>
      </c>
      <c r="C27" s="208" t="str">
        <f>CONCATENATE(Taxlots_20040430!E4," ",Taxlots_20040430!F4," ",Taxlots_20040430!G4)</f>
        <v>TRAPOLD,THOMAS A TR (FBO ELLY M TRAPOLD TRUST&gt; </v>
      </c>
      <c r="D27" s="205">
        <v>188</v>
      </c>
      <c r="E27" s="205">
        <v>188</v>
      </c>
      <c r="F27" s="205">
        <v>0</v>
      </c>
      <c r="G27" s="206">
        <v>0</v>
      </c>
    </row>
    <row r="28" spans="1:7" ht="12.75" customHeight="1">
      <c r="A28" s="220"/>
      <c r="B28" s="221"/>
      <c r="C28" s="221"/>
      <c r="D28" s="221"/>
      <c r="E28" s="221"/>
      <c r="F28" s="222"/>
      <c r="G28" s="223"/>
    </row>
    <row r="29" spans="1:7" ht="12.75" customHeight="1">
      <c r="A29" s="224" t="s">
        <v>514</v>
      </c>
      <c r="B29" s="225"/>
      <c r="C29" s="225">
        <f>COUNT(F6:F27)</f>
        <v>12</v>
      </c>
      <c r="D29" s="225">
        <f>SUM(D6:D27)</f>
        <v>237</v>
      </c>
      <c r="E29" s="225">
        <f>SUM(E6:E27)</f>
        <v>188</v>
      </c>
      <c r="F29" s="225">
        <f>SUM(F6:F27)</f>
        <v>2198053</v>
      </c>
      <c r="G29" s="226">
        <f>SUM(G6:G27)</f>
        <v>2122140</v>
      </c>
    </row>
    <row r="30" spans="1:7" ht="12.75">
      <c r="A30" s="227"/>
      <c r="B30" s="228"/>
      <c r="C30" s="228"/>
      <c r="D30" s="228"/>
      <c r="E30" s="228"/>
      <c r="F30" s="228"/>
      <c r="G30" s="229"/>
    </row>
    <row r="31" spans="1:7" ht="12.75" customHeight="1">
      <c r="A31" s="224"/>
      <c r="B31" s="230"/>
      <c r="C31" s="230"/>
      <c r="D31" s="230"/>
      <c r="E31" s="230"/>
      <c r="F31" s="230"/>
      <c r="G31" s="231"/>
    </row>
    <row r="32" spans="1:7" ht="12.75">
      <c r="A32" s="232">
        <f>COUNT(F6:F15)</f>
        <v>10</v>
      </c>
      <c r="B32" s="233">
        <f>((E32/E$38)*E$3)+((G32/G$38)*G$3)</f>
        <v>0.915765899190024</v>
      </c>
      <c r="C32" s="234" t="s">
        <v>508</v>
      </c>
      <c r="D32" s="234">
        <f>SUM(D6:D15)</f>
        <v>49</v>
      </c>
      <c r="E32" s="234">
        <f>SUM(E6:E15)</f>
        <v>0</v>
      </c>
      <c r="F32" s="234">
        <f>SUM(F6:F15)</f>
        <v>2151184</v>
      </c>
      <c r="G32" s="235">
        <f>SUM(G6:G15)</f>
        <v>2075271</v>
      </c>
    </row>
    <row r="33" spans="1:7" ht="12.75">
      <c r="A33" s="232">
        <f>COUNT(#REF!)</f>
        <v>0</v>
      </c>
      <c r="B33" s="233">
        <f>((E33/E$38)*E$3)+((G33/G$38)*G$3)</f>
        <v>0</v>
      </c>
      <c r="C33" s="234" t="s">
        <v>511</v>
      </c>
      <c r="D33" s="234">
        <v>0</v>
      </c>
      <c r="E33" s="234">
        <v>0</v>
      </c>
      <c r="F33" s="234">
        <v>0</v>
      </c>
      <c r="G33" s="235">
        <v>0</v>
      </c>
    </row>
    <row r="34" spans="1:7" ht="12.75">
      <c r="A34" s="232">
        <f>COUNT(F24:F24)</f>
        <v>1</v>
      </c>
      <c r="B34" s="233">
        <f>((E34/E$38)*E$3)+((G34/G$38)*G$3)</f>
        <v>0.020682133528169205</v>
      </c>
      <c r="C34" s="234" t="s">
        <v>512</v>
      </c>
      <c r="D34" s="234">
        <f>SUM(D24:D24)</f>
        <v>0</v>
      </c>
      <c r="E34" s="234">
        <f>SUM(E24:E24)</f>
        <v>0</v>
      </c>
      <c r="F34" s="234">
        <f>SUM(F24:F24)</f>
        <v>46869</v>
      </c>
      <c r="G34" s="235">
        <f>SUM(G24:G24)</f>
        <v>46869</v>
      </c>
    </row>
    <row r="35" spans="1:7" ht="12.75">
      <c r="A35" s="227">
        <f>SUM(A32:A34)</f>
        <v>11</v>
      </c>
      <c r="B35" s="236">
        <f>SUM(B32:B34)</f>
        <v>0.9364480327181932</v>
      </c>
      <c r="C35" s="228" t="s">
        <v>515</v>
      </c>
      <c r="D35" s="228">
        <f>SUM(D32:D34)</f>
        <v>49</v>
      </c>
      <c r="E35" s="228">
        <f>SUM(E32:E34)</f>
        <v>0</v>
      </c>
      <c r="F35" s="228">
        <f>SUM(F32:F34)</f>
        <v>2198053</v>
      </c>
      <c r="G35" s="229">
        <f>SUM(G32:G34)</f>
        <v>2122140</v>
      </c>
    </row>
    <row r="36" spans="1:7" ht="12.75">
      <c r="A36" s="232">
        <f>COUNT(#REF!)</f>
        <v>0</v>
      </c>
      <c r="B36" s="233">
        <f>((E36/E$38)*E$3)+((G36/G$38)*G$3)</f>
        <v>0</v>
      </c>
      <c r="C36" s="234" t="s">
        <v>509</v>
      </c>
      <c r="D36" s="234">
        <v>0</v>
      </c>
      <c r="E36" s="234">
        <v>0</v>
      </c>
      <c r="F36" s="234">
        <f>SUM(F18:F18)</f>
        <v>0</v>
      </c>
      <c r="G36" s="235">
        <f>SUM(G18:G18)</f>
        <v>0</v>
      </c>
    </row>
    <row r="37" spans="1:7" ht="12.75">
      <c r="A37" s="232">
        <f>COUNT(F27:F27)</f>
        <v>1</v>
      </c>
      <c r="B37" s="233">
        <f>((E37/E$38)*E$3)+((G37/G$38)*G$3)</f>
        <v>0.06355196728180677</v>
      </c>
      <c r="C37" s="234" t="s">
        <v>513</v>
      </c>
      <c r="D37" s="234">
        <f>SUM(D27)</f>
        <v>188</v>
      </c>
      <c r="E37" s="234">
        <f>SUM(E27)</f>
        <v>188</v>
      </c>
      <c r="F37" s="234">
        <f>SUM(F27)</f>
        <v>0</v>
      </c>
      <c r="G37" s="235">
        <f>SUM(G27)</f>
        <v>0</v>
      </c>
    </row>
    <row r="38" spans="1:7" ht="13.5" thickBot="1">
      <c r="A38" s="237">
        <f>SUM(A35:A37)</f>
        <v>12</v>
      </c>
      <c r="B38" s="238">
        <f>SUM(B35:B37)</f>
        <v>1</v>
      </c>
      <c r="C38" s="239" t="s">
        <v>9</v>
      </c>
      <c r="D38" s="239">
        <f>SUM(D35:D37)</f>
        <v>237</v>
      </c>
      <c r="E38" s="239">
        <f>SUM(E35:E37)</f>
        <v>188</v>
      </c>
      <c r="F38" s="239">
        <f>SUM(F35:F37)</f>
        <v>2198053</v>
      </c>
      <c r="G38" s="240">
        <f>SUM(G35:G37)</f>
        <v>2122140</v>
      </c>
    </row>
    <row r="39" spans="1:7" ht="13.5" thickBot="1">
      <c r="A39" s="241"/>
      <c r="B39" s="43"/>
      <c r="C39" s="43"/>
      <c r="D39" s="242"/>
      <c r="E39" s="242"/>
      <c r="F39" s="242"/>
      <c r="G39" s="243"/>
    </row>
    <row r="40" spans="1:8" ht="12.75" hidden="1" outlineLevel="1">
      <c r="A40" s="244" t="s">
        <v>525</v>
      </c>
      <c r="B40" s="244" t="s">
        <v>516</v>
      </c>
      <c r="C40" s="244" t="s">
        <v>526</v>
      </c>
      <c r="D40" s="247"/>
      <c r="E40" s="247"/>
      <c r="F40" s="187"/>
      <c r="G40" s="187"/>
      <c r="H40" s="187"/>
    </row>
    <row r="41" spans="1:5" ht="12.75" hidden="1" outlineLevel="1">
      <c r="A41" s="245">
        <f>'Assessment Worksheet'!A23</f>
        <v>12</v>
      </c>
      <c r="B41" s="254">
        <f>'Assessment Worksheet'!J8</f>
        <v>237</v>
      </c>
      <c r="C41" s="254">
        <f>'Assessment Worksheet'!J24</f>
        <v>2122140</v>
      </c>
      <c r="D41" s="247"/>
      <c r="E41" s="247"/>
    </row>
    <row r="42" spans="2:3" ht="12.75" hidden="1" outlineLevel="1">
      <c r="B42" s="187" t="str">
        <f>IF(B41=D29,"O.K.","Error")</f>
        <v>O.K.</v>
      </c>
      <c r="C42" s="187" t="str">
        <f>IF(C41=G29,"O.K.","Error")</f>
        <v>O.K.</v>
      </c>
    </row>
    <row r="43" ht="12.75" collapsed="1"/>
  </sheetData>
  <mergeCells count="6">
    <mergeCell ref="A3:B3"/>
    <mergeCell ref="A26:G26"/>
    <mergeCell ref="A5:G5"/>
    <mergeCell ref="A17:G17"/>
    <mergeCell ref="A20:G20"/>
    <mergeCell ref="A23:G23"/>
  </mergeCells>
  <printOptions horizontalCentered="1"/>
  <pageMargins left="0.25" right="0.25" top="1.25" bottom="1" header="0.5" footer="0.5"/>
  <pageSetup fitToHeight="1" fitToWidth="1" horizontalDpi="600" verticalDpi="600" orientation="landscape" scale="91" r:id="rId1"/>
  <headerFooter alignWithMargins="0">
    <oddHeader>&amp;C&amp;"Arial,Bold"&amp;11NE 148th AVENUE LOCAL IMPROVEMENT DISTRICT
Petition Evaluation</oddHeader>
    <oddFooter>&amp;L&amp;"Arial,Italic"&amp;9&amp;F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F43"/>
  <sheetViews>
    <sheetView workbookViewId="0" topLeftCell="A1">
      <selection activeCell="I9" sqref="I9:M9"/>
    </sheetView>
  </sheetViews>
  <sheetFormatPr defaultColWidth="9.140625" defaultRowHeight="12.75" outlineLevelRow="1" outlineLevelCol="1"/>
  <cols>
    <col min="2" max="2" width="27.140625" style="0" customWidth="1"/>
    <col min="3" max="3" width="83.140625" style="0" hidden="1" customWidth="1" outlineLevel="1"/>
    <col min="4" max="4" width="28.28125" style="0" hidden="1" customWidth="1" outlineLevel="1"/>
    <col min="5" max="5" width="27.140625" style="0" hidden="1" customWidth="1" outlineLevel="1"/>
    <col min="6" max="6" width="11.421875" style="0" hidden="1" customWidth="1" outlineLevel="1"/>
    <col min="7" max="7" width="3.7109375" style="0" hidden="1" customWidth="1" outlineLevel="1"/>
    <col min="8" max="8" width="10.57421875" style="0" hidden="1" customWidth="1" outlineLevel="1"/>
    <col min="9" max="9" width="9.140625" style="0" customWidth="1" collapsed="1"/>
    <col min="10" max="10" width="10.8515625" style="0" customWidth="1"/>
    <col min="11" max="11" width="6.00390625" style="0" customWidth="1"/>
    <col min="12" max="12" width="7.00390625" style="0" customWidth="1"/>
    <col min="13" max="13" width="6.28125" style="0" bestFit="1" customWidth="1"/>
    <col min="14" max="14" width="14.8515625" style="0" bestFit="1" customWidth="1"/>
    <col min="15" max="15" width="12.8515625" style="0" bestFit="1" customWidth="1"/>
    <col min="16" max="16" width="12.8515625" style="0" customWidth="1"/>
    <col min="17" max="17" width="13.8515625" style="0" customWidth="1"/>
    <col min="18" max="18" width="11.28125" style="0" hidden="1" customWidth="1"/>
    <col min="19" max="19" width="7.421875" style="0" hidden="1" customWidth="1"/>
    <col min="20" max="20" width="14.8515625" style="0" hidden="1" customWidth="1"/>
    <col min="21" max="21" width="7.421875" style="0" hidden="1" customWidth="1"/>
    <col min="22" max="22" width="0" style="0" hidden="1" customWidth="1"/>
    <col min="23" max="23" width="1.7109375" style="0" customWidth="1"/>
    <col min="25" max="25" width="16.28125" style="0" bestFit="1" customWidth="1"/>
    <col min="30" max="30" width="11.28125" style="0" bestFit="1" customWidth="1"/>
    <col min="32" max="32" width="11.28125" style="0" bestFit="1" customWidth="1"/>
  </cols>
  <sheetData>
    <row r="1" spans="1:3" ht="13.5" thickBot="1">
      <c r="A1" s="1" t="s">
        <v>0</v>
      </c>
      <c r="C1" s="2"/>
    </row>
    <row r="2" spans="1:23" ht="12.75">
      <c r="A2" s="3"/>
      <c r="B2" s="4"/>
      <c r="C2" s="4"/>
      <c r="D2" s="4"/>
      <c r="E2" s="4"/>
      <c r="F2" s="5"/>
      <c r="G2" s="5"/>
      <c r="H2" s="5"/>
      <c r="I2" s="261" t="s">
        <v>479</v>
      </c>
      <c r="J2" s="262"/>
      <c r="K2" s="262"/>
      <c r="L2" s="262"/>
      <c r="M2" s="263"/>
      <c r="N2" s="261" t="s">
        <v>2</v>
      </c>
      <c r="O2" s="262"/>
      <c r="P2" s="262"/>
      <c r="Q2" s="262"/>
      <c r="R2" s="262"/>
      <c r="S2" s="262"/>
      <c r="T2" s="262"/>
      <c r="U2" s="262"/>
      <c r="V2" s="262"/>
      <c r="W2" s="196"/>
    </row>
    <row r="3" spans="1:23" ht="12.75">
      <c r="A3" s="6"/>
      <c r="B3" s="7"/>
      <c r="C3" s="7"/>
      <c r="D3" s="7"/>
      <c r="E3" s="7"/>
      <c r="F3" s="8"/>
      <c r="G3" s="8"/>
      <c r="H3" s="8"/>
      <c r="I3" s="9"/>
      <c r="J3" s="10"/>
      <c r="K3" s="10"/>
      <c r="L3" s="264" t="s">
        <v>3</v>
      </c>
      <c r="M3" s="265"/>
      <c r="N3" s="266" t="s">
        <v>485</v>
      </c>
      <c r="O3" s="264"/>
      <c r="P3" s="264"/>
      <c r="Q3" s="265"/>
      <c r="R3" s="266" t="s">
        <v>494</v>
      </c>
      <c r="S3" s="265"/>
      <c r="T3" s="266" t="s">
        <v>495</v>
      </c>
      <c r="U3" s="264"/>
      <c r="V3" s="264"/>
      <c r="W3" s="196"/>
    </row>
    <row r="4" spans="1:23" ht="12.75">
      <c r="A4" s="14" t="s">
        <v>4</v>
      </c>
      <c r="B4" s="15" t="s">
        <v>5</v>
      </c>
      <c r="C4" s="15" t="s">
        <v>6</v>
      </c>
      <c r="D4" s="15" t="s">
        <v>7</v>
      </c>
      <c r="E4" s="15" t="s">
        <v>8</v>
      </c>
      <c r="F4" s="13"/>
      <c r="G4" s="13"/>
      <c r="H4" s="13"/>
      <c r="I4" s="16" t="s">
        <v>9</v>
      </c>
      <c r="J4" s="11" t="s">
        <v>10</v>
      </c>
      <c r="K4" s="11" t="s">
        <v>11</v>
      </c>
      <c r="L4" s="11" t="s">
        <v>12</v>
      </c>
      <c r="M4" s="12" t="s">
        <v>13</v>
      </c>
      <c r="N4" s="9" t="s">
        <v>483</v>
      </c>
      <c r="O4" s="10" t="s">
        <v>522</v>
      </c>
      <c r="P4" s="10" t="s">
        <v>484</v>
      </c>
      <c r="Q4" s="169" t="s">
        <v>9</v>
      </c>
      <c r="R4" s="9" t="s">
        <v>14</v>
      </c>
      <c r="S4" s="169" t="s">
        <v>15</v>
      </c>
      <c r="T4" s="10" t="s">
        <v>16</v>
      </c>
      <c r="U4" s="10" t="s">
        <v>483</v>
      </c>
      <c r="V4" s="10" t="s">
        <v>9</v>
      </c>
      <c r="W4" s="196"/>
    </row>
    <row r="5" spans="1:32" ht="12.75">
      <c r="A5" s="18">
        <v>1</v>
      </c>
      <c r="B5" s="8" t="str">
        <f>CONCATENATE(Taxlots_20040430!B2," (",Taxlots_20040430!D2,")")</f>
        <v>1N2E24    1500 (R942240630)</v>
      </c>
      <c r="C5" s="8" t="e">
        <f>CONCATENATE(#REF!," ",#REF!," ",#REF!)</f>
        <v>#REF!</v>
      </c>
      <c r="D5" s="19" t="e">
        <f>#REF!</f>
        <v>#REF!</v>
      </c>
      <c r="E5" s="19" t="e">
        <f>#REF!</f>
        <v>#REF!</v>
      </c>
      <c r="F5" s="19" t="e">
        <f>#REF!</f>
        <v>#REF!</v>
      </c>
      <c r="G5" s="19" t="e">
        <f>#REF!</f>
        <v>#REF!</v>
      </c>
      <c r="H5" s="19" t="e">
        <f>#REF!</f>
        <v>#REF!</v>
      </c>
      <c r="I5" s="20">
        <v>38</v>
      </c>
      <c r="J5" s="21">
        <f>I5</f>
        <v>38</v>
      </c>
      <c r="K5" s="153" t="s">
        <v>496</v>
      </c>
      <c r="L5" s="22">
        <f>J5/J$8</f>
        <v>0.16033755274261605</v>
      </c>
      <c r="M5" s="23">
        <f>N5/N$28</f>
        <v>0.012845611362048141</v>
      </c>
      <c r="N5" s="170">
        <f>ROUND((J5*N$9),2)</f>
        <v>22918.59</v>
      </c>
      <c r="O5" s="25">
        <f>-N5</f>
        <v>-22918.59</v>
      </c>
      <c r="P5" s="25">
        <v>0</v>
      </c>
      <c r="Q5" s="171">
        <f>SUM(N5:O5)</f>
        <v>0</v>
      </c>
      <c r="R5" s="174"/>
      <c r="S5" s="175"/>
      <c r="T5" s="28" t="e">
        <f>MAX(#REF!,#REF!,#REF!,#REF!)</f>
        <v>#REF!</v>
      </c>
      <c r="U5" s="181" t="e">
        <f>T5/(N5+S5)</f>
        <v>#REF!</v>
      </c>
      <c r="V5" s="194" t="str">
        <f>IF((Q5+S5=0),"n.m.",(T5/(Q5+S5)))</f>
        <v>n.m.</v>
      </c>
      <c r="W5" s="196"/>
      <c r="Z5" s="29"/>
      <c r="AA5" s="29"/>
      <c r="AB5" s="29"/>
      <c r="AD5" s="30"/>
      <c r="AE5" s="30"/>
      <c r="AF5" s="30"/>
    </row>
    <row r="6" spans="1:32" ht="12.75">
      <c r="A6" s="18">
        <f>A5+1</f>
        <v>2</v>
      </c>
      <c r="B6" s="8" t="str">
        <f>CONCATENATE(Taxlots_20040430!B3," (",Taxlots_20040430!D3,")")</f>
        <v>1N2E24B   400 (R942240760)</v>
      </c>
      <c r="C6" s="8" t="e">
        <f>CONCATENATE(#REF!," ",#REF!," ",#REF!)</f>
        <v>#REF!</v>
      </c>
      <c r="D6" s="19" t="e">
        <f>#REF!</f>
        <v>#REF!</v>
      </c>
      <c r="E6" s="19" t="e">
        <f>#REF!</f>
        <v>#REF!</v>
      </c>
      <c r="F6" s="19" t="e">
        <f>#REF!</f>
        <v>#REF!</v>
      </c>
      <c r="G6" s="19" t="e">
        <f>#REF!</f>
        <v>#REF!</v>
      </c>
      <c r="H6" s="19" t="e">
        <f>#REF!</f>
        <v>#REF!</v>
      </c>
      <c r="I6" s="20">
        <v>11</v>
      </c>
      <c r="J6" s="21">
        <f>I6</f>
        <v>11</v>
      </c>
      <c r="K6" s="153" t="s">
        <v>496</v>
      </c>
      <c r="L6" s="22">
        <f>J6/J$8</f>
        <v>0.046413502109704644</v>
      </c>
      <c r="M6" s="23">
        <f>N6/N$28</f>
        <v>0.003718467184393841</v>
      </c>
      <c r="N6" s="170">
        <f>ROUND((J6*N$9),2)</f>
        <v>6634.33</v>
      </c>
      <c r="O6" s="25">
        <f>-N6</f>
        <v>-6634.33</v>
      </c>
      <c r="P6" s="25">
        <v>0</v>
      </c>
      <c r="Q6" s="171">
        <f>SUM(N6:O6)</f>
        <v>0</v>
      </c>
      <c r="R6" s="174"/>
      <c r="S6" s="175"/>
      <c r="T6" s="28" t="e">
        <f>MAX(#REF!,#REF!,#REF!,#REF!)</f>
        <v>#REF!</v>
      </c>
      <c r="U6" s="181" t="e">
        <f>T6/(N6+S6)</f>
        <v>#REF!</v>
      </c>
      <c r="V6" s="194" t="str">
        <f>IF((Q6+S6=0),"n.m.",(T6/(Q6+S6)))</f>
        <v>n.m.</v>
      </c>
      <c r="W6" s="196"/>
      <c r="Z6" s="29"/>
      <c r="AA6" s="29"/>
      <c r="AB6" s="29"/>
      <c r="AD6" s="30"/>
      <c r="AE6" s="30"/>
      <c r="AF6" s="30"/>
    </row>
    <row r="7" spans="1:32" ht="12.75">
      <c r="A7" s="31">
        <f>A6+1</f>
        <v>3</v>
      </c>
      <c r="B7" s="13" t="str">
        <f>CONCATENATE(Taxlots_20040430!B4," (",Taxlots_20040430!D4,")")</f>
        <v>1N2E24B   500 (R942240160)</v>
      </c>
      <c r="C7" s="13" t="e">
        <f>CONCATENATE(#REF!," ",#REF!," ",#REF!)</f>
        <v>#REF!</v>
      </c>
      <c r="D7" s="32" t="e">
        <f>#REF!</f>
        <v>#REF!</v>
      </c>
      <c r="E7" s="32" t="e">
        <f>#REF!</f>
        <v>#REF!</v>
      </c>
      <c r="F7" s="32" t="e">
        <f>#REF!</f>
        <v>#REF!</v>
      </c>
      <c r="G7" s="32" t="e">
        <f>#REF!</f>
        <v>#REF!</v>
      </c>
      <c r="H7" s="32" t="e">
        <f>#REF!</f>
        <v>#REF!</v>
      </c>
      <c r="I7" s="33">
        <v>188</v>
      </c>
      <c r="J7" s="34">
        <f>I7</f>
        <v>188</v>
      </c>
      <c r="K7" s="35" t="s">
        <v>496</v>
      </c>
      <c r="L7" s="36">
        <f>J7/J$8</f>
        <v>0.7932489451476793</v>
      </c>
      <c r="M7" s="37">
        <f>N7/N$28</f>
        <v>0.06355196728180677</v>
      </c>
      <c r="N7" s="38">
        <f>ROUND((J7*N$9),2)</f>
        <v>113386.7</v>
      </c>
      <c r="O7" s="158">
        <v>0</v>
      </c>
      <c r="P7" s="158">
        <v>0</v>
      </c>
      <c r="Q7" s="172">
        <f>SUM(N7:O7)</f>
        <v>113386.7</v>
      </c>
      <c r="R7" s="176"/>
      <c r="S7" s="177"/>
      <c r="T7" s="41" t="e">
        <f>MAX(#REF!,#REF!,#REF!,#REF!)</f>
        <v>#REF!</v>
      </c>
      <c r="U7" s="182" t="e">
        <f>T7/(N7+S7)</f>
        <v>#REF!</v>
      </c>
      <c r="V7" s="195" t="e">
        <f>IF((Q7+S7=0),"n.m.",(T7/(Q7+S7)))</f>
        <v>#REF!</v>
      </c>
      <c r="W7" s="196"/>
      <c r="Z7" s="29"/>
      <c r="AA7" s="29"/>
      <c r="AB7" s="29"/>
      <c r="AD7" s="30"/>
      <c r="AE7" s="30"/>
      <c r="AF7" s="30"/>
    </row>
    <row r="8" spans="1:32" ht="13.5" thickBot="1">
      <c r="A8" s="42">
        <f>COUNT(A5:A7)</f>
        <v>3</v>
      </c>
      <c r="B8" s="43"/>
      <c r="C8" s="43"/>
      <c r="D8" s="43"/>
      <c r="E8" s="43"/>
      <c r="F8" s="43"/>
      <c r="G8" s="43"/>
      <c r="H8" s="43"/>
      <c r="I8" s="44">
        <f>SUM(I5:I7)</f>
        <v>237</v>
      </c>
      <c r="J8" s="45">
        <f>SUM(J5:J7)</f>
        <v>237</v>
      </c>
      <c r="K8" s="45"/>
      <c r="L8" s="46">
        <f aca="true" t="shared" si="0" ref="L8:Q8">SUM(L5:L7)</f>
        <v>1</v>
      </c>
      <c r="M8" s="47">
        <f t="shared" si="0"/>
        <v>0.08011604582824876</v>
      </c>
      <c r="N8" s="48">
        <f t="shared" si="0"/>
        <v>142939.62</v>
      </c>
      <c r="O8" s="159">
        <f t="shared" si="0"/>
        <v>-29552.92</v>
      </c>
      <c r="P8" s="159">
        <f t="shared" si="0"/>
        <v>0</v>
      </c>
      <c r="Q8" s="173">
        <f t="shared" si="0"/>
        <v>113386.7</v>
      </c>
      <c r="R8" s="178"/>
      <c r="S8" s="179">
        <v>0</v>
      </c>
      <c r="T8" s="49" t="e">
        <f>SUM(T5:T7)</f>
        <v>#REF!</v>
      </c>
      <c r="U8" s="184" t="e">
        <f>T8/(N8+S8)</f>
        <v>#REF!</v>
      </c>
      <c r="V8" s="184" t="e">
        <f>IF((Q8+S8=0),"n.m.",(T8/(Q8+S8)))</f>
        <v>#REF!</v>
      </c>
      <c r="W8" s="196"/>
      <c r="Z8" s="29"/>
      <c r="AA8" s="29"/>
      <c r="AB8" s="29"/>
      <c r="AC8" s="29"/>
      <c r="AD8" s="30"/>
      <c r="AE8" s="30"/>
      <c r="AF8" s="30"/>
    </row>
    <row r="9" spans="3:32" ht="12.75">
      <c r="C9" t="s">
        <v>478</v>
      </c>
      <c r="I9" s="267" t="s">
        <v>480</v>
      </c>
      <c r="J9" s="268"/>
      <c r="K9" s="268"/>
      <c r="L9" s="268"/>
      <c r="M9" s="268"/>
      <c r="N9" s="165">
        <f>'LID Preliminary Estimate - S'!D48/J8</f>
        <v>603.1207594936709</v>
      </c>
      <c r="O9" s="50"/>
      <c r="P9" s="50"/>
      <c r="Q9" s="50"/>
      <c r="Z9" s="29"/>
      <c r="AA9" s="29"/>
      <c r="AB9" s="29"/>
      <c r="AC9" s="29"/>
      <c r="AD9" s="30"/>
      <c r="AE9" s="30"/>
      <c r="AF9" s="30"/>
    </row>
    <row r="10" spans="26:32" ht="12.75">
      <c r="Z10" s="29"/>
      <c r="AA10" s="29"/>
      <c r="AB10" s="29"/>
      <c r="AC10" s="29"/>
      <c r="AD10" s="30"/>
      <c r="AE10" s="30"/>
      <c r="AF10" s="30"/>
    </row>
    <row r="11" spans="1:32" ht="13.5" thickBot="1">
      <c r="A11" s="1" t="s">
        <v>20</v>
      </c>
      <c r="C11" s="51"/>
      <c r="Z11" s="29"/>
      <c r="AA11" s="29"/>
      <c r="AB11" s="29"/>
      <c r="AC11" s="29"/>
      <c r="AD11" s="30"/>
      <c r="AE11" s="30"/>
      <c r="AF11" s="30"/>
    </row>
    <row r="12" spans="1:32" ht="12.75">
      <c r="A12" s="3"/>
      <c r="B12" s="4"/>
      <c r="C12" s="4"/>
      <c r="D12" s="4"/>
      <c r="E12" s="4"/>
      <c r="F12" s="5"/>
      <c r="G12" s="5"/>
      <c r="H12" s="5"/>
      <c r="I12" s="261" t="s">
        <v>1</v>
      </c>
      <c r="J12" s="262"/>
      <c r="K12" s="262"/>
      <c r="L12" s="262"/>
      <c r="M12" s="263"/>
      <c r="N12" s="261" t="s">
        <v>2</v>
      </c>
      <c r="O12" s="262"/>
      <c r="P12" s="262"/>
      <c r="Q12" s="262"/>
      <c r="R12" s="262"/>
      <c r="S12" s="262"/>
      <c r="T12" s="262"/>
      <c r="U12" s="262"/>
      <c r="V12" s="269"/>
      <c r="W12" s="196"/>
      <c r="Z12" s="29"/>
      <c r="AA12" s="29"/>
      <c r="AB12" s="29"/>
      <c r="AC12" s="29"/>
      <c r="AD12" s="30"/>
      <c r="AE12" s="30"/>
      <c r="AF12" s="30"/>
    </row>
    <row r="13" spans="1:32" ht="12.75">
      <c r="A13" s="6"/>
      <c r="B13" s="7"/>
      <c r="C13" s="7"/>
      <c r="D13" s="7"/>
      <c r="E13" s="7"/>
      <c r="F13" s="8"/>
      <c r="G13" s="8"/>
      <c r="H13" s="8"/>
      <c r="I13" s="9"/>
      <c r="J13" s="10"/>
      <c r="K13" s="10"/>
      <c r="L13" s="264" t="s">
        <v>3</v>
      </c>
      <c r="M13" s="265"/>
      <c r="N13" s="266" t="s">
        <v>485</v>
      </c>
      <c r="O13" s="264"/>
      <c r="P13" s="264"/>
      <c r="Q13" s="265"/>
      <c r="R13" s="266" t="s">
        <v>494</v>
      </c>
      <c r="S13" s="265"/>
      <c r="T13" s="266" t="s">
        <v>495</v>
      </c>
      <c r="U13" s="264"/>
      <c r="V13" s="270"/>
      <c r="W13" s="196"/>
      <c r="Z13" s="29"/>
      <c r="AA13" s="29"/>
      <c r="AB13" s="29"/>
      <c r="AC13" s="29"/>
      <c r="AD13" s="30"/>
      <c r="AE13" s="30"/>
      <c r="AF13" s="30"/>
    </row>
    <row r="14" spans="1:32" ht="12.75">
      <c r="A14" s="14" t="s">
        <v>4</v>
      </c>
      <c r="B14" s="15" t="s">
        <v>5</v>
      </c>
      <c r="C14" s="15" t="s">
        <v>6</v>
      </c>
      <c r="D14" s="15" t="s">
        <v>7</v>
      </c>
      <c r="E14" s="15" t="s">
        <v>8</v>
      </c>
      <c r="F14" s="13"/>
      <c r="G14" s="13"/>
      <c r="H14" s="13"/>
      <c r="I14" s="52" t="s">
        <v>9</v>
      </c>
      <c r="J14" s="53" t="s">
        <v>10</v>
      </c>
      <c r="K14" s="53" t="s">
        <v>11</v>
      </c>
      <c r="L14" s="11" t="s">
        <v>12</v>
      </c>
      <c r="M14" s="12" t="s">
        <v>13</v>
      </c>
      <c r="N14" s="9" t="s">
        <v>483</v>
      </c>
      <c r="O14" s="10" t="s">
        <v>522</v>
      </c>
      <c r="P14" s="10" t="s">
        <v>484</v>
      </c>
      <c r="Q14" s="169" t="s">
        <v>9</v>
      </c>
      <c r="R14" s="9" t="s">
        <v>14</v>
      </c>
      <c r="S14" s="169" t="s">
        <v>15</v>
      </c>
      <c r="T14" s="10" t="s">
        <v>16</v>
      </c>
      <c r="U14" s="10" t="s">
        <v>483</v>
      </c>
      <c r="V14" s="17" t="s">
        <v>9</v>
      </c>
      <c r="W14" s="196"/>
      <c r="Z14" s="29"/>
      <c r="AA14" s="29"/>
      <c r="AB14" s="29"/>
      <c r="AC14" s="29"/>
      <c r="AD14" s="30"/>
      <c r="AE14" s="30"/>
      <c r="AF14" s="30"/>
    </row>
    <row r="15" spans="1:32" ht="12.75">
      <c r="A15" s="18">
        <f>A7+1</f>
        <v>4</v>
      </c>
      <c r="B15" s="8" t="str">
        <f>CONCATENATE(Taxlots_20040430!B5," (",Taxlots_20040430!D5,")")</f>
        <v>1N2E13C   500 (R942130140)</v>
      </c>
      <c r="C15" s="8" t="e">
        <f>CONCATENATE(#REF!," ",#REF!," ",#REF!)</f>
        <v>#REF!</v>
      </c>
      <c r="D15" s="19" t="e">
        <f>#REF!</f>
        <v>#REF!</v>
      </c>
      <c r="E15" s="19" t="e">
        <f>#REF!</f>
        <v>#REF!</v>
      </c>
      <c r="F15" s="19" t="e">
        <f>#REF!</f>
        <v>#REF!</v>
      </c>
      <c r="G15" s="19" t="e">
        <f>#REF!</f>
        <v>#REF!</v>
      </c>
      <c r="H15" s="19" t="e">
        <f>#REF!</f>
        <v>#REF!</v>
      </c>
      <c r="I15" s="20">
        <f>ROUND(Taxlots_20040430!A5,0)</f>
        <v>112953</v>
      </c>
      <c r="J15" s="21">
        <f>I15</f>
        <v>112953</v>
      </c>
      <c r="K15" s="153" t="s">
        <v>486</v>
      </c>
      <c r="L15" s="22">
        <f>J15/J$24</f>
        <v>0.053225988860301394</v>
      </c>
      <c r="M15" s="54">
        <f aca="true" t="shared" si="1" ref="M15:M23">N15/N$28</f>
        <v>0.04896173386515492</v>
      </c>
      <c r="N15" s="85">
        <f>ROUND((J15*N$25),2)</f>
        <v>87355.43</v>
      </c>
      <c r="O15" s="191">
        <f>ROUND(((J15/(J$15+J$16+J$17+J$18+J$21))*-(O$8/1)),2)</f>
        <v>2800.69</v>
      </c>
      <c r="P15" s="191">
        <v>0</v>
      </c>
      <c r="Q15" s="85">
        <f>SUM(N15:O15)</f>
        <v>90156.12</v>
      </c>
      <c r="R15" s="160"/>
      <c r="S15" s="27"/>
      <c r="T15" s="28" t="e">
        <f>MAX(#REF!,#REF!,#REF!,#REF!)</f>
        <v>#REF!</v>
      </c>
      <c r="U15" s="181" t="e">
        <f>T15/(N15+S15)</f>
        <v>#REF!</v>
      </c>
      <c r="V15" s="180" t="e">
        <f>IF((Q15+S15=0),"n.m.",(T15/(Q15+S15)))</f>
        <v>#REF!</v>
      </c>
      <c r="W15" s="196"/>
      <c r="Z15" s="29"/>
      <c r="AA15" s="29"/>
      <c r="AB15" s="29"/>
      <c r="AD15" s="30"/>
      <c r="AE15" s="30"/>
      <c r="AF15" s="30"/>
    </row>
    <row r="16" spans="1:32" ht="12.75">
      <c r="A16" s="18">
        <f aca="true" t="shared" si="2" ref="A16:A23">A15+1</f>
        <v>5</v>
      </c>
      <c r="B16" s="8" t="str">
        <f>CONCATENATE(Taxlots_20040430!B6," (",Taxlots_20040430!D6,")")</f>
        <v>1N2E13C   600 (R942130110)</v>
      </c>
      <c r="C16" s="8" t="e">
        <f>CONCATENATE(#REF!," ",#REF!," ",#REF!)</f>
        <v>#REF!</v>
      </c>
      <c r="D16" s="19" t="e">
        <f>#REF!</f>
        <v>#REF!</v>
      </c>
      <c r="E16" s="19" t="e">
        <f>#REF!</f>
        <v>#REF!</v>
      </c>
      <c r="F16" s="19" t="e">
        <f>#REF!</f>
        <v>#REF!</v>
      </c>
      <c r="G16" s="19" t="e">
        <f>#REF!</f>
        <v>#REF!</v>
      </c>
      <c r="H16" s="19" t="e">
        <f>#REF!</f>
        <v>#REF!</v>
      </c>
      <c r="I16" s="20">
        <f>ROUND(Taxlots_20040430!A6,0)</f>
        <v>86864</v>
      </c>
      <c r="J16" s="21">
        <f aca="true" t="shared" si="3" ref="J16:J22">I16</f>
        <v>86864</v>
      </c>
      <c r="K16" s="153" t="s">
        <v>486</v>
      </c>
      <c r="L16" s="22">
        <f aca="true" t="shared" si="4" ref="L16:L23">J16/J$24</f>
        <v>0.040932266485717246</v>
      </c>
      <c r="M16" s="54">
        <f t="shared" si="1"/>
        <v>0.03765293775682994</v>
      </c>
      <c r="N16" s="85">
        <f aca="true" t="shared" si="5" ref="N16:N23">ROUND((J16*N$25),2)</f>
        <v>67178.76</v>
      </c>
      <c r="O16" s="191">
        <f>ROUND(((J16/(J$15+J$16+J$17+J$18+J$21))*-(O$8/1)),2)</f>
        <v>2153.81</v>
      </c>
      <c r="P16" s="191">
        <v>0</v>
      </c>
      <c r="Q16" s="85">
        <f aca="true" t="shared" si="6" ref="Q16:Q23">SUM(N16:O16)</f>
        <v>69332.56999999999</v>
      </c>
      <c r="R16" s="83"/>
      <c r="S16" s="27"/>
      <c r="T16" s="28" t="e">
        <f>MAX(#REF!,#REF!,#REF!,#REF!)</f>
        <v>#REF!</v>
      </c>
      <c r="U16" s="181" t="e">
        <f>T16/(N16+S16)</f>
        <v>#REF!</v>
      </c>
      <c r="V16" s="180" t="e">
        <f>IF((Q16+S16=0),"n.m.",(T16/(Q16+S16)))</f>
        <v>#REF!</v>
      </c>
      <c r="W16" s="196"/>
      <c r="Z16" s="29"/>
      <c r="AA16" s="29"/>
      <c r="AB16" s="29"/>
      <c r="AD16" s="30"/>
      <c r="AE16" s="30"/>
      <c r="AF16" s="30"/>
    </row>
    <row r="17" spans="1:32" ht="12.75">
      <c r="A17" s="18">
        <f t="shared" si="2"/>
        <v>6</v>
      </c>
      <c r="B17" s="8" t="str">
        <f>CONCATENATE(Taxlots_20040430!B7," (",Taxlots_20040430!D7,")")</f>
        <v>1N2E13C   700 (R942130130)</v>
      </c>
      <c r="C17" s="8" t="e">
        <f>CONCATENATE(#REF!," ",#REF!," ",#REF!)</f>
        <v>#REF!</v>
      </c>
      <c r="D17" s="19" t="e">
        <f>#REF!</f>
        <v>#REF!</v>
      </c>
      <c r="E17" s="19" t="e">
        <f>#REF!</f>
        <v>#REF!</v>
      </c>
      <c r="F17" s="19" t="e">
        <f>#REF!</f>
        <v>#REF!</v>
      </c>
      <c r="G17" s="19" t="e">
        <f>#REF!</f>
        <v>#REF!</v>
      </c>
      <c r="H17" s="19" t="e">
        <f>#REF!</f>
        <v>#REF!</v>
      </c>
      <c r="I17" s="20">
        <f>ROUND(Taxlots_20040430!A7,0)</f>
        <v>87214</v>
      </c>
      <c r="J17" s="21">
        <f t="shared" si="3"/>
        <v>87214</v>
      </c>
      <c r="K17" s="153" t="s">
        <v>486</v>
      </c>
      <c r="L17" s="22">
        <f t="shared" si="4"/>
        <v>0.04109719434156088</v>
      </c>
      <c r="M17" s="54">
        <f t="shared" si="1"/>
        <v>0.0378046508457887</v>
      </c>
      <c r="N17" s="85">
        <f t="shared" si="5"/>
        <v>67449.44</v>
      </c>
      <c r="O17" s="85">
        <f>ROUND(((J17/(J$15+J$16+J$17+J$18+J$21))*-(O$8/1)),2)</f>
        <v>2162.49</v>
      </c>
      <c r="P17" s="85">
        <v>0</v>
      </c>
      <c r="Q17" s="85">
        <f t="shared" si="6"/>
        <v>69611.93000000001</v>
      </c>
      <c r="R17" s="83"/>
      <c r="S17" s="27"/>
      <c r="T17" s="28" t="e">
        <f>MAX(#REF!,#REF!,#REF!,#REF!)</f>
        <v>#REF!</v>
      </c>
      <c r="U17" s="181" t="e">
        <f aca="true" t="shared" si="7" ref="U17:U24">T17/(N17+S17)</f>
        <v>#REF!</v>
      </c>
      <c r="V17" s="180" t="e">
        <f aca="true" t="shared" si="8" ref="V17:V24">IF((Q17+S17=0),"n.m.",(T17/(Q17+S17)))</f>
        <v>#REF!</v>
      </c>
      <c r="W17" s="196"/>
      <c r="Z17" s="29"/>
      <c r="AA17" s="29"/>
      <c r="AB17" s="29"/>
      <c r="AD17" s="30"/>
      <c r="AE17" s="30"/>
      <c r="AF17" s="30"/>
    </row>
    <row r="18" spans="1:32" ht="12.75">
      <c r="A18" s="18">
        <f t="shared" si="2"/>
        <v>7</v>
      </c>
      <c r="B18" s="8" t="str">
        <f>CONCATENATE(Taxlots_20040430!B8," (",Taxlots_20040430!D8,")")</f>
        <v>1N2E13C   701 (R942130180)</v>
      </c>
      <c r="C18" s="8" t="e">
        <f>CONCATENATE(#REF!," ",#REF!," ",#REF!)</f>
        <v>#REF!</v>
      </c>
      <c r="D18" s="19" t="e">
        <f>#REF!</f>
        <v>#REF!</v>
      </c>
      <c r="E18" s="19" t="e">
        <f>#REF!</f>
        <v>#REF!</v>
      </c>
      <c r="F18" s="19" t="e">
        <f>#REF!</f>
        <v>#REF!</v>
      </c>
      <c r="G18" s="19" t="e">
        <f>#REF!</f>
        <v>#REF!</v>
      </c>
      <c r="H18" s="19" t="e">
        <f>#REF!</f>
        <v>#REF!</v>
      </c>
      <c r="I18" s="20">
        <f>ROUND(Taxlots_20040430!A8,0)</f>
        <v>98111</v>
      </c>
      <c r="J18" s="21">
        <f t="shared" si="3"/>
        <v>98111</v>
      </c>
      <c r="K18" s="153" t="s">
        <v>486</v>
      </c>
      <c r="L18" s="22">
        <f t="shared" si="4"/>
        <v>0.046232105327640965</v>
      </c>
      <c r="M18" s="54">
        <f t="shared" si="1"/>
        <v>0.042528169602992376</v>
      </c>
      <c r="N18" s="85">
        <f t="shared" si="5"/>
        <v>75876.94</v>
      </c>
      <c r="O18" s="85">
        <f>ROUND(((J18/(J$15+J$16+J$17+J$18+J$21))*-(O$8/1)),2)</f>
        <v>2432.68</v>
      </c>
      <c r="P18" s="85">
        <v>0</v>
      </c>
      <c r="Q18" s="85">
        <f t="shared" si="6"/>
        <v>78309.62</v>
      </c>
      <c r="R18" s="26"/>
      <c r="S18" s="27"/>
      <c r="T18" s="28" t="e">
        <f>MAX(#REF!,#REF!,#REF!,#REF!)</f>
        <v>#REF!</v>
      </c>
      <c r="U18" s="181" t="e">
        <f t="shared" si="7"/>
        <v>#REF!</v>
      </c>
      <c r="V18" s="180" t="e">
        <f t="shared" si="8"/>
        <v>#REF!</v>
      </c>
      <c r="W18" s="196"/>
      <c r="Z18" s="29"/>
      <c r="AA18" s="29"/>
      <c r="AB18" s="29"/>
      <c r="AD18" s="30"/>
      <c r="AE18" s="30"/>
      <c r="AF18" s="30"/>
    </row>
    <row r="19" spans="1:32" ht="12.75">
      <c r="A19" s="18">
        <f t="shared" si="2"/>
        <v>8</v>
      </c>
      <c r="B19" s="8" t="str">
        <f>CONCATENATE(Taxlots_20040430!B9," (",Taxlots_20040430!D9,")")</f>
        <v>1N2E13C   800 (R942130120)</v>
      </c>
      <c r="C19" s="8" t="e">
        <f>CONCATENATE(#REF!," ",#REF!," ",#REF!)</f>
        <v>#REF!</v>
      </c>
      <c r="D19" s="19" t="e">
        <f>#REF!</f>
        <v>#REF!</v>
      </c>
      <c r="E19" s="19" t="e">
        <f>#REF!</f>
        <v>#REF!</v>
      </c>
      <c r="F19" s="19" t="e">
        <f>#REF!</f>
        <v>#REF!</v>
      </c>
      <c r="G19" s="19" t="e">
        <f>#REF!</f>
        <v>#REF!</v>
      </c>
      <c r="H19" s="19" t="e">
        <f>#REF!</f>
        <v>#REF!</v>
      </c>
      <c r="I19" s="20">
        <f>ROUND(Taxlots_20040430!A9,0)</f>
        <v>46869</v>
      </c>
      <c r="J19" s="21">
        <f t="shared" si="3"/>
        <v>46869</v>
      </c>
      <c r="K19" s="153" t="s">
        <v>18</v>
      </c>
      <c r="L19" s="22">
        <f t="shared" si="4"/>
        <v>0.022085724787243067</v>
      </c>
      <c r="M19" s="54">
        <f t="shared" si="1"/>
        <v>0.02031630396693744</v>
      </c>
      <c r="N19" s="85">
        <f t="shared" si="5"/>
        <v>36247.48</v>
      </c>
      <c r="O19" s="85">
        <v>0</v>
      </c>
      <c r="P19" s="85">
        <v>0</v>
      </c>
      <c r="Q19" s="85">
        <f t="shared" si="6"/>
        <v>36247.48</v>
      </c>
      <c r="R19" s="26"/>
      <c r="S19" s="27"/>
      <c r="T19" s="28" t="e">
        <f>MAX(#REF!,#REF!,#REF!,#REF!)</f>
        <v>#REF!</v>
      </c>
      <c r="U19" s="181" t="e">
        <f t="shared" si="7"/>
        <v>#REF!</v>
      </c>
      <c r="V19" s="180" t="e">
        <f t="shared" si="8"/>
        <v>#REF!</v>
      </c>
      <c r="W19" s="196"/>
      <c r="Z19" s="29"/>
      <c r="AA19" s="29"/>
      <c r="AB19" s="29"/>
      <c r="AD19" s="30"/>
      <c r="AE19" s="30"/>
      <c r="AF19" s="30"/>
    </row>
    <row r="20" spans="1:32" ht="12.75">
      <c r="A20" s="18">
        <f t="shared" si="2"/>
        <v>9</v>
      </c>
      <c r="B20" s="8" t="str">
        <f>CONCATENATE(Taxlots_20040430!B10," (",Taxlots_20040430!D10,")")</f>
        <v>1N2E24B   100 (R942240450)</v>
      </c>
      <c r="C20" s="8" t="e">
        <f>CONCATENATE(#REF!," ",#REF!," ",#REF!)</f>
        <v>#REF!</v>
      </c>
      <c r="D20" s="19" t="e">
        <f>#REF!</f>
        <v>#REF!</v>
      </c>
      <c r="E20" s="19" t="e">
        <f>#REF!</f>
        <v>#REF!</v>
      </c>
      <c r="F20" s="19" t="e">
        <f>#REF!</f>
        <v>#REF!</v>
      </c>
      <c r="G20" s="19" t="e">
        <f>#REF!</f>
        <v>#REF!</v>
      </c>
      <c r="H20" s="19" t="e">
        <f>#REF!</f>
        <v>#REF!</v>
      </c>
      <c r="I20" s="20">
        <f>ROUND(Taxlots_20040430!A10,0)</f>
        <v>563923</v>
      </c>
      <c r="J20" s="21">
        <f>I20-76358</f>
        <v>487565</v>
      </c>
      <c r="K20" s="153" t="s">
        <v>497</v>
      </c>
      <c r="L20" s="22">
        <f t="shared" si="4"/>
        <v>0.22975157152685496</v>
      </c>
      <c r="M20" s="54">
        <f t="shared" si="1"/>
        <v>0.21134478508956495</v>
      </c>
      <c r="N20" s="85">
        <f t="shared" si="5"/>
        <v>377072.32</v>
      </c>
      <c r="O20" s="85">
        <v>0</v>
      </c>
      <c r="P20" s="85">
        <v>0</v>
      </c>
      <c r="Q20" s="85">
        <f t="shared" si="6"/>
        <v>377072.32</v>
      </c>
      <c r="R20" s="26"/>
      <c r="S20" s="27"/>
      <c r="T20" s="28" t="e">
        <f>MAX(#REF!,#REF!,#REF!,#REF!)</f>
        <v>#REF!</v>
      </c>
      <c r="U20" s="181" t="e">
        <f t="shared" si="7"/>
        <v>#REF!</v>
      </c>
      <c r="V20" s="180" t="e">
        <f t="shared" si="8"/>
        <v>#REF!</v>
      </c>
      <c r="W20" s="196"/>
      <c r="Z20" s="29"/>
      <c r="AA20" s="29"/>
      <c r="AB20" s="29"/>
      <c r="AD20" s="30"/>
      <c r="AE20" s="30"/>
      <c r="AF20" s="30"/>
    </row>
    <row r="21" spans="1:32" ht="12.75">
      <c r="A21" s="18">
        <f t="shared" si="2"/>
        <v>10</v>
      </c>
      <c r="B21" s="8" t="str">
        <f>CONCATENATE(Taxlots_20040430!B11," (","R942240420",")")</f>
        <v>1N2E24B   1900 (R942240420)</v>
      </c>
      <c r="C21" s="8" t="e">
        <f>CONCATENATE(#REF!," ",#REF!," ",#REF!)</f>
        <v>#REF!</v>
      </c>
      <c r="D21" s="19" t="e">
        <f>#REF!</f>
        <v>#REF!</v>
      </c>
      <c r="E21" s="19" t="e">
        <f>#REF!</f>
        <v>#REF!</v>
      </c>
      <c r="F21" s="19" t="e">
        <f>#REF!</f>
        <v>#REF!</v>
      </c>
      <c r="G21" s="19" t="e">
        <f>#REF!</f>
        <v>#REF!</v>
      </c>
      <c r="H21" s="19" t="e">
        <f>#REF!</f>
        <v>#REF!</v>
      </c>
      <c r="I21" s="20">
        <f>ROUND(Taxlots_20040430!A11,0)</f>
        <v>806739</v>
      </c>
      <c r="J21" s="21">
        <f t="shared" si="3"/>
        <v>806739</v>
      </c>
      <c r="K21" s="153" t="s">
        <v>486</v>
      </c>
      <c r="L21" s="55">
        <f t="shared" si="4"/>
        <v>0.38015352427266813</v>
      </c>
      <c r="M21" s="54">
        <f t="shared" si="1"/>
        <v>0.3496971231010361</v>
      </c>
      <c r="N21" s="85">
        <f>ROUND((J21*N$25),2)-0.01</f>
        <v>623914.64</v>
      </c>
      <c r="O21" s="85">
        <f>ROUND(((J21/(J$15+J$16+J$17+J$18+J$21))*-(O$8/1)),2)</f>
        <v>20003.25</v>
      </c>
      <c r="P21" s="85">
        <v>0</v>
      </c>
      <c r="Q21" s="85">
        <f t="shared" si="6"/>
        <v>643917.89</v>
      </c>
      <c r="R21" s="26"/>
      <c r="S21" s="27"/>
      <c r="T21" s="28" t="e">
        <f>MAX(#REF!,#REF!,#REF!,#REF!)</f>
        <v>#REF!</v>
      </c>
      <c r="U21" s="181" t="e">
        <f t="shared" si="7"/>
        <v>#REF!</v>
      </c>
      <c r="V21" s="180" t="e">
        <f t="shared" si="8"/>
        <v>#REF!</v>
      </c>
      <c r="W21" s="196"/>
      <c r="Z21" s="29"/>
      <c r="AA21" s="29"/>
      <c r="AB21" s="29"/>
      <c r="AD21" s="30"/>
      <c r="AE21" s="30"/>
      <c r="AF21" s="30"/>
    </row>
    <row r="22" spans="1:32" ht="12.75">
      <c r="A22" s="18">
        <f t="shared" si="2"/>
        <v>11</v>
      </c>
      <c r="B22" s="8" t="str">
        <f>CONCATENATE(Taxlots_20040430!B12," (",Taxlots_20040430!D12,")")</f>
        <v>1N2E24B   600 (R942240380)</v>
      </c>
      <c r="C22" s="8" t="e">
        <f>CONCATENATE(#REF!," ",#REF!," ",#REF!)</f>
        <v>#REF!</v>
      </c>
      <c r="D22" s="19" t="e">
        <f>#REF!</f>
        <v>#REF!</v>
      </c>
      <c r="E22" s="19" t="e">
        <f>#REF!</f>
        <v>#REF!</v>
      </c>
      <c r="F22" s="19" t="e">
        <f>#REF!</f>
        <v>#REF!</v>
      </c>
      <c r="G22" s="19" t="e">
        <f>#REF!</f>
        <v>#REF!</v>
      </c>
      <c r="H22" s="19" t="e">
        <f>#REF!</f>
        <v>#REF!</v>
      </c>
      <c r="I22" s="20">
        <f>ROUND(Taxlots_20040430!A12,0)</f>
        <v>124197</v>
      </c>
      <c r="J22" s="21">
        <f t="shared" si="3"/>
        <v>124197</v>
      </c>
      <c r="K22" s="153"/>
      <c r="L22" s="55">
        <f t="shared" si="4"/>
        <v>0.05852441403488931</v>
      </c>
      <c r="M22" s="54">
        <f t="shared" si="1"/>
        <v>0.05383567098235514</v>
      </c>
      <c r="N22" s="85">
        <f t="shared" si="5"/>
        <v>96051.3</v>
      </c>
      <c r="O22" s="85">
        <v>0</v>
      </c>
      <c r="P22" s="85">
        <v>0</v>
      </c>
      <c r="Q22" s="85">
        <f t="shared" si="6"/>
        <v>96051.3</v>
      </c>
      <c r="R22" s="26"/>
      <c r="S22" s="27"/>
      <c r="T22" s="28" t="e">
        <f>MAX(#REF!,#REF!,#REF!,#REF!)</f>
        <v>#REF!</v>
      </c>
      <c r="U22" s="181" t="e">
        <f t="shared" si="7"/>
        <v>#REF!</v>
      </c>
      <c r="V22" s="180" t="e">
        <f t="shared" si="8"/>
        <v>#REF!</v>
      </c>
      <c r="W22" s="196"/>
      <c r="Z22" s="29"/>
      <c r="AA22" s="29"/>
      <c r="AB22" s="29"/>
      <c r="AD22" s="30"/>
      <c r="AE22" s="30"/>
      <c r="AF22" s="30"/>
    </row>
    <row r="23" spans="1:32" ht="12.75">
      <c r="A23" s="31">
        <f t="shared" si="2"/>
        <v>12</v>
      </c>
      <c r="B23" s="13" t="str">
        <f>CONCATENATE(Taxlots_20040430!B13," (",Taxlots_20040430!D13,")")</f>
        <v>1N2E24B   700 (R942240310)</v>
      </c>
      <c r="C23" s="13" t="e">
        <f>CONCATENATE(#REF!," ",#REF!," ",#REF!)</f>
        <v>#REF!</v>
      </c>
      <c r="D23" s="32" t="e">
        <f>#REF!</f>
        <v>#REF!</v>
      </c>
      <c r="E23" s="32" t="e">
        <f>#REF!</f>
        <v>#REF!</v>
      </c>
      <c r="F23" s="32" t="e">
        <f>#REF!</f>
        <v>#REF!</v>
      </c>
      <c r="G23" s="32" t="e">
        <f>#REF!</f>
        <v>#REF!</v>
      </c>
      <c r="H23" s="32" t="e">
        <f>#REF!</f>
        <v>#REF!</v>
      </c>
      <c r="I23" s="33">
        <f>ROUND(Taxlots_20040430!A13,0)</f>
        <v>271183</v>
      </c>
      <c r="J23" s="34">
        <v>271628</v>
      </c>
      <c r="K23" s="35" t="s">
        <v>502</v>
      </c>
      <c r="L23" s="56">
        <f t="shared" si="4"/>
        <v>0.127997210363124</v>
      </c>
      <c r="M23" s="57">
        <f t="shared" si="1"/>
        <v>0.11774257896109153</v>
      </c>
      <c r="N23" s="192">
        <f t="shared" si="5"/>
        <v>210071.27</v>
      </c>
      <c r="O23" s="193">
        <v>0</v>
      </c>
      <c r="P23" s="193">
        <v>0</v>
      </c>
      <c r="Q23" s="193">
        <f t="shared" si="6"/>
        <v>210071.27</v>
      </c>
      <c r="R23" s="39"/>
      <c r="S23" s="40"/>
      <c r="T23" s="41" t="e">
        <f>MAX(#REF!,#REF!,#REF!,#REF!)</f>
        <v>#REF!</v>
      </c>
      <c r="U23" s="182" t="e">
        <f t="shared" si="7"/>
        <v>#REF!</v>
      </c>
      <c r="V23" s="183" t="e">
        <f t="shared" si="8"/>
        <v>#REF!</v>
      </c>
      <c r="W23" s="196"/>
      <c r="Z23" s="29"/>
      <c r="AA23" s="29"/>
      <c r="AB23" s="29"/>
      <c r="AD23" s="30"/>
      <c r="AE23" s="30"/>
      <c r="AF23" s="30"/>
    </row>
    <row r="24" spans="1:32" ht="13.5" thickBot="1">
      <c r="A24" s="42">
        <f>COUNT(A15:A23)</f>
        <v>9</v>
      </c>
      <c r="B24" s="43"/>
      <c r="C24" s="43"/>
      <c r="D24" s="43"/>
      <c r="E24" s="43"/>
      <c r="F24" s="43"/>
      <c r="G24" s="43"/>
      <c r="H24" s="43"/>
      <c r="I24" s="44">
        <f>SUM(I15:I23)</f>
        <v>2198053</v>
      </c>
      <c r="J24" s="45">
        <f>SUM(J15:J23)</f>
        <v>2122140</v>
      </c>
      <c r="K24" s="45"/>
      <c r="L24" s="46">
        <f aca="true" t="shared" si="9" ref="L24:Q24">SUM(L15:L23)</f>
        <v>1</v>
      </c>
      <c r="M24" s="47">
        <f t="shared" si="9"/>
        <v>0.9198839541717511</v>
      </c>
      <c r="N24" s="48">
        <f t="shared" si="9"/>
        <v>1641217.58</v>
      </c>
      <c r="O24" s="159">
        <f t="shared" si="9"/>
        <v>29552.92</v>
      </c>
      <c r="P24" s="159">
        <f t="shared" si="9"/>
        <v>0</v>
      </c>
      <c r="Q24" s="159">
        <f t="shared" si="9"/>
        <v>1670770.5000000002</v>
      </c>
      <c r="R24" s="43"/>
      <c r="S24" s="49">
        <v>0</v>
      </c>
      <c r="T24" s="49" t="e">
        <f>SUM(T15:T23)</f>
        <v>#REF!</v>
      </c>
      <c r="U24" s="184" t="e">
        <f t="shared" si="7"/>
        <v>#REF!</v>
      </c>
      <c r="V24" s="185" t="e">
        <f t="shared" si="8"/>
        <v>#REF!</v>
      </c>
      <c r="W24" s="196"/>
      <c r="Y24">
        <f>MID(B24,1,15)</f>
      </c>
      <c r="Z24" s="29"/>
      <c r="AA24" s="29"/>
      <c r="AB24" s="29"/>
      <c r="AD24" s="30"/>
      <c r="AE24" s="30"/>
      <c r="AF24" s="30"/>
    </row>
    <row r="25" spans="3:17" ht="12.75">
      <c r="C25" t="s">
        <v>493</v>
      </c>
      <c r="I25" s="267" t="s">
        <v>19</v>
      </c>
      <c r="J25" s="268"/>
      <c r="K25" s="268"/>
      <c r="L25" s="268"/>
      <c r="M25" s="268"/>
      <c r="N25" s="164">
        <f>ROUND(('LID Preliminary Estimate - N'!D48/'Assessment Worksheet'!J24),8)</f>
        <v>0.77337857</v>
      </c>
      <c r="O25" s="152"/>
      <c r="P25" s="152"/>
      <c r="Q25" s="189"/>
    </row>
    <row r="26" spans="1:17" ht="12.75" hidden="1" outlineLevel="1">
      <c r="A26" s="190" t="s">
        <v>504</v>
      </c>
      <c r="B26" s="190"/>
      <c r="I26" s="8"/>
      <c r="M26" s="168"/>
      <c r="N26" s="30"/>
      <c r="O26" s="30"/>
      <c r="P26" s="30"/>
      <c r="Q26" s="30"/>
    </row>
    <row r="27" spans="1:17" ht="12.75" collapsed="1">
      <c r="A27" s="8"/>
      <c r="B27" s="8"/>
      <c r="I27" s="8"/>
      <c r="M27" s="168"/>
      <c r="N27" s="30"/>
      <c r="O27" s="30"/>
      <c r="P27" s="30"/>
      <c r="Q27" s="30"/>
    </row>
    <row r="28" spans="1:22" ht="12.75">
      <c r="A28" s="58" t="s">
        <v>21</v>
      </c>
      <c r="I28" s="8"/>
      <c r="J28" s="155"/>
      <c r="N28" s="154">
        <f>N8+N24</f>
        <v>1784157.2000000002</v>
      </c>
      <c r="O28" s="154">
        <f>O8+O24</f>
        <v>0</v>
      </c>
      <c r="P28" s="154"/>
      <c r="Q28" s="154">
        <f>Q8+Q24</f>
        <v>1784157.2000000002</v>
      </c>
      <c r="T28" s="156" t="e">
        <f>T8+T24</f>
        <v>#REF!</v>
      </c>
      <c r="U28" s="157" t="e">
        <f>T28/(N28+S28)</f>
        <v>#REF!</v>
      </c>
      <c r="V28" s="157" t="e">
        <f>IF((Q28+S28=0),"n.m.",(T28/(Q28+S28)))</f>
        <v>#REF!</v>
      </c>
    </row>
    <row r="29" spans="1:22" ht="12.75">
      <c r="A29" s="58"/>
      <c r="I29" s="8"/>
      <c r="J29" s="155"/>
      <c r="N29" s="154"/>
      <c r="O29" s="154"/>
      <c r="P29" s="154"/>
      <c r="Q29" s="154"/>
      <c r="T29" s="156"/>
      <c r="U29" s="156"/>
      <c r="V29" s="157"/>
    </row>
    <row r="30" spans="1:22" ht="12.75">
      <c r="A30" s="58" t="s">
        <v>488</v>
      </c>
      <c r="I30" s="8"/>
      <c r="J30" s="155"/>
      <c r="L30" s="166"/>
      <c r="M30" s="166"/>
      <c r="N30" s="154"/>
      <c r="O30" s="154"/>
      <c r="P30" s="154"/>
      <c r="Q30" s="154"/>
      <c r="T30" s="156"/>
      <c r="U30" s="156"/>
      <c r="V30" s="157"/>
    </row>
    <row r="31" spans="1:22" ht="12.75">
      <c r="A31" s="161" t="s">
        <v>489</v>
      </c>
      <c r="I31" s="8"/>
      <c r="J31" s="155"/>
      <c r="L31" s="167"/>
      <c r="M31" s="167"/>
      <c r="N31" s="143">
        <f>N7+N15+N16+N17+N18+N21+N22+N23</f>
        <v>1341284.48</v>
      </c>
      <c r="O31" s="143">
        <f>O7+O15+O16+O17+O18+O21+O22+O23</f>
        <v>29552.92</v>
      </c>
      <c r="P31" s="143"/>
      <c r="Q31" s="143">
        <f>Q7+Q15+Q16+Q17+Q18+Q21+Q22+Q23</f>
        <v>1370837.4000000001</v>
      </c>
      <c r="T31" s="162" t="e">
        <f>T7+T15+T16+T17+T18+T21+T22+T23</f>
        <v>#REF!</v>
      </c>
      <c r="U31" s="163" t="e">
        <f>T31/(N31+S31)</f>
        <v>#REF!</v>
      </c>
      <c r="V31" s="186" t="e">
        <f>IF((Q31+S31=0),"n.m.",(T31/(Q31+S31)))</f>
        <v>#REF!</v>
      </c>
    </row>
    <row r="32" spans="1:22" ht="12.75">
      <c r="A32" s="161" t="s">
        <v>490</v>
      </c>
      <c r="I32" s="8"/>
      <c r="J32" s="155"/>
      <c r="L32" s="167"/>
      <c r="M32" s="167"/>
      <c r="N32" s="143">
        <f>N20</f>
        <v>377072.32</v>
      </c>
      <c r="O32" s="143">
        <f>O20</f>
        <v>0</v>
      </c>
      <c r="P32" s="143"/>
      <c r="Q32" s="143">
        <f>Q20</f>
        <v>377072.32</v>
      </c>
      <c r="T32" s="162" t="e">
        <f>T20</f>
        <v>#REF!</v>
      </c>
      <c r="U32" s="163" t="e">
        <f>T32/(N32+S32)</f>
        <v>#REF!</v>
      </c>
      <c r="V32" s="186" t="e">
        <f>IF((Q32+S32=0),"n.m.",(T32/(Q32+S32)))</f>
        <v>#REF!</v>
      </c>
    </row>
    <row r="33" spans="1:22" ht="12.75">
      <c r="A33" s="161" t="s">
        <v>491</v>
      </c>
      <c r="I33" s="8"/>
      <c r="J33" s="155"/>
      <c r="L33" s="167"/>
      <c r="M33" s="167"/>
      <c r="N33" s="143">
        <f>N19</f>
        <v>36247.48</v>
      </c>
      <c r="O33" s="143">
        <f>O19</f>
        <v>0</v>
      </c>
      <c r="P33" s="143"/>
      <c r="Q33" s="143">
        <f>Q19</f>
        <v>36247.48</v>
      </c>
      <c r="T33" s="162" t="e">
        <f>T19</f>
        <v>#REF!</v>
      </c>
      <c r="U33" s="163" t="e">
        <f>T33/(N33+S33)</f>
        <v>#REF!</v>
      </c>
      <c r="V33" s="186" t="e">
        <f>IF((Q33+S33=0),"n.m.",(T33/(Q33+S33)))</f>
        <v>#REF!</v>
      </c>
    </row>
    <row r="34" spans="1:22" ht="12.75">
      <c r="A34" s="161" t="s">
        <v>492</v>
      </c>
      <c r="I34" s="8"/>
      <c r="J34" s="155"/>
      <c r="L34" s="167"/>
      <c r="M34" s="167"/>
      <c r="N34" s="143">
        <f>N5+N6</f>
        <v>29552.92</v>
      </c>
      <c r="O34" s="143">
        <f>O5+O6</f>
        <v>-29552.92</v>
      </c>
      <c r="P34" s="143"/>
      <c r="Q34" s="143">
        <f>Q5+Q6</f>
        <v>0</v>
      </c>
      <c r="T34" s="162" t="e">
        <f>T5+T6</f>
        <v>#REF!</v>
      </c>
      <c r="U34" s="163" t="e">
        <f>T34/(N34+S34)</f>
        <v>#REF!</v>
      </c>
      <c r="V34" s="186" t="str">
        <f>IF((Q34+S34=0),"n.m.",(T34/(Q34+S34)))</f>
        <v>n.m.</v>
      </c>
    </row>
    <row r="35" spans="1:17" ht="12.75">
      <c r="A35" s="58"/>
      <c r="I35" s="8"/>
      <c r="L35" s="168"/>
      <c r="M35" s="168"/>
      <c r="N35" s="30"/>
      <c r="O35" s="30"/>
      <c r="P35" s="30"/>
      <c r="Q35" s="30"/>
    </row>
    <row r="36" spans="1:22" ht="12.75">
      <c r="A36" s="58" t="s">
        <v>22</v>
      </c>
      <c r="N36" s="30"/>
      <c r="O36" s="30"/>
      <c r="P36" s="30"/>
      <c r="Q36" s="30"/>
      <c r="V36" s="59"/>
    </row>
    <row r="37" spans="1:22" ht="12.75">
      <c r="A37" s="1" t="s">
        <v>482</v>
      </c>
      <c r="N37" s="30"/>
      <c r="O37" s="30"/>
      <c r="P37" s="30"/>
      <c r="Q37" s="30"/>
      <c r="V37" s="59"/>
    </row>
    <row r="38" ht="12.75">
      <c r="A38" s="1" t="s">
        <v>481</v>
      </c>
    </row>
    <row r="39" ht="12.75">
      <c r="A39" s="1" t="s">
        <v>487</v>
      </c>
    </row>
    <row r="40" ht="12.75">
      <c r="A40" s="1" t="s">
        <v>498</v>
      </c>
    </row>
    <row r="41" ht="12.75">
      <c r="A41" s="1" t="s">
        <v>499</v>
      </c>
    </row>
    <row r="42" ht="12.75">
      <c r="A42" s="1" t="s">
        <v>500</v>
      </c>
    </row>
    <row r="43" ht="12.75">
      <c r="A43" s="1" t="s">
        <v>503</v>
      </c>
    </row>
  </sheetData>
  <mergeCells count="14">
    <mergeCell ref="T3:V3"/>
    <mergeCell ref="N2:V2"/>
    <mergeCell ref="N12:V12"/>
    <mergeCell ref="N13:Q13"/>
    <mergeCell ref="R13:S13"/>
    <mergeCell ref="T13:V13"/>
    <mergeCell ref="I25:M25"/>
    <mergeCell ref="I9:M9"/>
    <mergeCell ref="N3:Q3"/>
    <mergeCell ref="L13:M13"/>
    <mergeCell ref="I2:M2"/>
    <mergeCell ref="I12:M12"/>
    <mergeCell ref="L3:M3"/>
    <mergeCell ref="R3:S3"/>
  </mergeCells>
  <printOptions horizontalCentered="1"/>
  <pageMargins left="0.5" right="0.5" top="1.5" bottom="1.5" header="0.5" footer="0.5"/>
  <pageSetup fitToHeight="1" fitToWidth="1" horizontalDpi="600" verticalDpi="600" orientation="landscape" paperSize="3" scale="54" r:id="rId1"/>
  <headerFooter alignWithMargins="0">
    <oddHeader>&amp;C&amp;"Arial,Bold"&amp;11NE 148th AVENUE
LOCAL IMPROVEMENT DISTRICT
Assessment Worksheet</oddHeader>
    <oddFooter>&amp;L&amp;"Arial,Italic"&amp;9&amp;F&amp;R&amp;"Arial,Italic"&amp;9&amp;D</oddFooter>
  </headerFooter>
</worksheet>
</file>

<file path=xl/worksheets/sheet3.xml><?xml version="1.0" encoding="utf-8"?>
<worksheet xmlns="http://schemas.openxmlformats.org/spreadsheetml/2006/main" xmlns:r="http://schemas.openxmlformats.org/officeDocument/2006/relationships">
  <dimension ref="A1:AT13"/>
  <sheetViews>
    <sheetView workbookViewId="0" topLeftCell="A1">
      <selection activeCell="A1" sqref="A1"/>
    </sheetView>
  </sheetViews>
  <sheetFormatPr defaultColWidth="9.140625" defaultRowHeight="12.75"/>
  <cols>
    <col min="1" max="1" width="12.57421875" style="248" bestFit="1" customWidth="1"/>
    <col min="2" max="2" width="14.57421875" style="249" bestFit="1" customWidth="1"/>
    <col min="3" max="3" width="13.28125" style="249" bestFit="1" customWidth="1"/>
    <col min="4" max="4" width="11.28125" style="249" bestFit="1" customWidth="1"/>
    <col min="5" max="5" width="32.57421875" style="249" bestFit="1" customWidth="1"/>
    <col min="6" max="6" width="29.421875" style="249" bestFit="1" customWidth="1"/>
    <col min="7" max="7" width="30.28125" style="249" bestFit="1" customWidth="1"/>
    <col min="8" max="8" width="25.140625" style="249" bestFit="1" customWidth="1"/>
    <col min="9" max="9" width="12.140625" style="249" bestFit="1" customWidth="1"/>
    <col min="10" max="10" width="14.00390625" style="249" bestFit="1" customWidth="1"/>
    <col min="11" max="11" width="10.8515625" style="249" bestFit="1" customWidth="1"/>
    <col min="12" max="12" width="28.28125" style="249" bestFit="1" customWidth="1"/>
    <col min="13" max="13" width="10.8515625" style="249" bestFit="1" customWidth="1"/>
    <col min="14" max="14" width="12.140625" style="249" bestFit="1" customWidth="1"/>
    <col min="15" max="15" width="8.00390625" style="249" bestFit="1" customWidth="1"/>
    <col min="16" max="16" width="128.57421875" style="249" bestFit="1" customWidth="1"/>
    <col min="17" max="17" width="9.8515625" style="249" bestFit="1" customWidth="1"/>
    <col min="18" max="18" width="12.421875" style="249" bestFit="1" customWidth="1"/>
    <col min="19" max="19" width="32.140625" style="249" bestFit="1" customWidth="1"/>
    <col min="20" max="20" width="9.7109375" style="249" bestFit="1" customWidth="1"/>
    <col min="21" max="21" width="11.28125" style="249" bestFit="1" customWidth="1"/>
    <col min="22" max="22" width="12.57421875" style="248" bestFit="1" customWidth="1"/>
    <col min="23" max="23" width="11.7109375" style="248" bestFit="1" customWidth="1"/>
    <col min="24" max="24" width="8.7109375" style="248" bestFit="1" customWidth="1"/>
    <col min="25" max="25" width="6.57421875" style="248" bestFit="1" customWidth="1"/>
    <col min="26" max="26" width="12.140625" style="249" bestFit="1" customWidth="1"/>
    <col min="27" max="29" width="13.57421875" style="248" bestFit="1" customWidth="1"/>
    <col min="30" max="30" width="12.140625" style="249" bestFit="1" customWidth="1"/>
    <col min="31" max="33" width="13.57421875" style="248" bestFit="1" customWidth="1"/>
    <col min="34" max="34" width="12.140625" style="249" bestFit="1" customWidth="1"/>
    <col min="35" max="35" width="10.7109375" style="248" bestFit="1" customWidth="1"/>
    <col min="36" max="36" width="10.8515625" style="248" bestFit="1" customWidth="1"/>
    <col min="37" max="37" width="11.8515625" style="248" bestFit="1" customWidth="1"/>
    <col min="38" max="38" width="10.7109375" style="249" bestFit="1" customWidth="1"/>
    <col min="39" max="39" width="12.57421875" style="248" bestFit="1" customWidth="1"/>
    <col min="40" max="40" width="13.28125" style="249" bestFit="1" customWidth="1"/>
    <col min="41" max="41" width="12.57421875" style="248" bestFit="1" customWidth="1"/>
    <col min="42" max="42" width="11.7109375" style="248" bestFit="1" customWidth="1"/>
    <col min="43" max="43" width="8.57421875" style="249" bestFit="1" customWidth="1"/>
    <col min="44" max="44" width="10.8515625" style="249" bestFit="1" customWidth="1"/>
    <col min="45" max="45" width="12.8515625" style="249" bestFit="1" customWidth="1"/>
    <col min="46" max="46" width="12.57421875" style="248" bestFit="1" customWidth="1"/>
  </cols>
  <sheetData>
    <row r="1" spans="1:46" s="1" customFormat="1" ht="12.75">
      <c r="A1" s="250" t="s">
        <v>314</v>
      </c>
      <c r="B1" s="251" t="s">
        <v>315</v>
      </c>
      <c r="C1" s="251" t="s">
        <v>316</v>
      </c>
      <c r="D1" s="251" t="s">
        <v>317</v>
      </c>
      <c r="E1" s="251" t="s">
        <v>318</v>
      </c>
      <c r="F1" s="251" t="s">
        <v>319</v>
      </c>
      <c r="G1" s="251" t="s">
        <v>320</v>
      </c>
      <c r="H1" s="251" t="s">
        <v>321</v>
      </c>
      <c r="I1" s="251" t="s">
        <v>322</v>
      </c>
      <c r="J1" s="251" t="s">
        <v>323</v>
      </c>
      <c r="K1" s="251" t="s">
        <v>324</v>
      </c>
      <c r="L1" s="251" t="s">
        <v>325</v>
      </c>
      <c r="M1" s="251" t="s">
        <v>326</v>
      </c>
      <c r="N1" s="251" t="s">
        <v>327</v>
      </c>
      <c r="O1" s="251" t="s">
        <v>328</v>
      </c>
      <c r="P1" s="251" t="s">
        <v>329</v>
      </c>
      <c r="Q1" s="251" t="s">
        <v>330</v>
      </c>
      <c r="R1" s="251" t="s">
        <v>331</v>
      </c>
      <c r="S1" s="251" t="s">
        <v>332</v>
      </c>
      <c r="T1" s="251" t="s">
        <v>333</v>
      </c>
      <c r="U1" s="251" t="s">
        <v>334</v>
      </c>
      <c r="V1" s="250" t="s">
        <v>335</v>
      </c>
      <c r="W1" s="250" t="s">
        <v>336</v>
      </c>
      <c r="X1" s="250" t="s">
        <v>337</v>
      </c>
      <c r="Y1" s="250" t="s">
        <v>338</v>
      </c>
      <c r="Z1" s="251" t="s">
        <v>339</v>
      </c>
      <c r="AA1" s="250" t="s">
        <v>340</v>
      </c>
      <c r="AB1" s="250" t="s">
        <v>341</v>
      </c>
      <c r="AC1" s="250" t="s">
        <v>342</v>
      </c>
      <c r="AD1" s="251" t="s">
        <v>343</v>
      </c>
      <c r="AE1" s="250" t="s">
        <v>344</v>
      </c>
      <c r="AF1" s="250" t="s">
        <v>345</v>
      </c>
      <c r="AG1" s="250" t="s">
        <v>346</v>
      </c>
      <c r="AH1" s="251" t="s">
        <v>347</v>
      </c>
      <c r="AI1" s="250" t="s">
        <v>348</v>
      </c>
      <c r="AJ1" s="250" t="s">
        <v>349</v>
      </c>
      <c r="AK1" s="250" t="s">
        <v>350</v>
      </c>
      <c r="AL1" s="251" t="s">
        <v>351</v>
      </c>
      <c r="AM1" s="250" t="s">
        <v>352</v>
      </c>
      <c r="AN1" s="251" t="s">
        <v>353</v>
      </c>
      <c r="AO1" s="250" t="s">
        <v>354</v>
      </c>
      <c r="AP1" s="250" t="s">
        <v>355</v>
      </c>
      <c r="AQ1" s="251" t="s">
        <v>356</v>
      </c>
      <c r="AR1" s="251" t="s">
        <v>357</v>
      </c>
      <c r="AS1" s="251" t="s">
        <v>358</v>
      </c>
      <c r="AT1" s="250" t="s">
        <v>359</v>
      </c>
    </row>
    <row r="2" spans="1:46" ht="12.75">
      <c r="A2" s="248">
        <v>543722.71</v>
      </c>
      <c r="B2" s="249" t="s">
        <v>412</v>
      </c>
      <c r="D2" s="249" t="s">
        <v>413</v>
      </c>
      <c r="E2" s="249" t="s">
        <v>414</v>
      </c>
      <c r="H2" s="249" t="s">
        <v>415</v>
      </c>
      <c r="I2" s="249" t="s">
        <v>416</v>
      </c>
      <c r="J2" s="249" t="s">
        <v>366</v>
      </c>
      <c r="K2" s="249" t="s">
        <v>417</v>
      </c>
      <c r="L2" s="249" t="s">
        <v>418</v>
      </c>
      <c r="M2" s="249" t="s">
        <v>365</v>
      </c>
      <c r="N2" s="249" t="s">
        <v>366</v>
      </c>
      <c r="O2" s="249" t="s">
        <v>368</v>
      </c>
      <c r="P2" s="249" t="s">
        <v>419</v>
      </c>
      <c r="Q2" s="249" t="s">
        <v>370</v>
      </c>
      <c r="R2" s="249" t="s">
        <v>420</v>
      </c>
      <c r="T2" s="249" t="s">
        <v>421</v>
      </c>
      <c r="V2" s="248">
        <v>187051</v>
      </c>
      <c r="Z2" s="249" t="s">
        <v>373</v>
      </c>
      <c r="AA2" s="248">
        <v>1745320</v>
      </c>
      <c r="AB2" s="248">
        <v>7406100</v>
      </c>
      <c r="AC2" s="248">
        <v>9151420</v>
      </c>
      <c r="AD2" s="249" t="s">
        <v>518</v>
      </c>
      <c r="AE2" s="248">
        <v>1745320</v>
      </c>
      <c r="AF2" s="248">
        <v>7406100</v>
      </c>
      <c r="AG2" s="248">
        <v>9151420</v>
      </c>
      <c r="AH2" s="249" t="s">
        <v>519</v>
      </c>
      <c r="AL2" s="249" t="s">
        <v>422</v>
      </c>
      <c r="AM2" s="248">
        <v>610881</v>
      </c>
      <c r="AN2" s="249" t="s">
        <v>17</v>
      </c>
      <c r="AO2" s="248">
        <v>521849</v>
      </c>
      <c r="AP2" s="248">
        <v>11.98</v>
      </c>
      <c r="AQ2" s="249" t="s">
        <v>374</v>
      </c>
      <c r="AR2" s="249" t="s">
        <v>365</v>
      </c>
      <c r="AS2" s="249" t="s">
        <v>423</v>
      </c>
      <c r="AT2" s="248">
        <v>216608</v>
      </c>
    </row>
    <row r="3" spans="1:46" ht="12.75">
      <c r="A3" s="248">
        <v>50188.74</v>
      </c>
      <c r="B3" s="249" t="s">
        <v>443</v>
      </c>
      <c r="D3" s="249" t="s">
        <v>444</v>
      </c>
      <c r="E3" s="249" t="s">
        <v>445</v>
      </c>
      <c r="F3" s="249" t="s">
        <v>446</v>
      </c>
      <c r="H3" s="249" t="s">
        <v>447</v>
      </c>
      <c r="I3" s="249" t="s">
        <v>448</v>
      </c>
      <c r="J3" s="249" t="s">
        <v>366</v>
      </c>
      <c r="K3" s="249" t="s">
        <v>449</v>
      </c>
      <c r="L3" s="249" t="s">
        <v>450</v>
      </c>
      <c r="M3" s="249" t="s">
        <v>365</v>
      </c>
      <c r="N3" s="249" t="s">
        <v>366</v>
      </c>
      <c r="O3" s="249" t="s">
        <v>368</v>
      </c>
      <c r="P3" s="249" t="s">
        <v>451</v>
      </c>
      <c r="Q3" s="249" t="s">
        <v>370</v>
      </c>
      <c r="R3" s="249" t="s">
        <v>452</v>
      </c>
      <c r="S3" s="249" t="s">
        <v>453</v>
      </c>
      <c r="T3" s="249" t="s">
        <v>410</v>
      </c>
      <c r="V3" s="248">
        <v>22989</v>
      </c>
      <c r="Z3" s="249" t="s">
        <v>373</v>
      </c>
      <c r="AA3" s="248">
        <v>168960</v>
      </c>
      <c r="AB3" s="248">
        <v>781040</v>
      </c>
      <c r="AC3" s="248">
        <v>950000</v>
      </c>
      <c r="AD3" s="249" t="s">
        <v>518</v>
      </c>
      <c r="AE3" s="248">
        <v>168960</v>
      </c>
      <c r="AF3" s="248">
        <v>781040</v>
      </c>
      <c r="AG3" s="248">
        <v>950000</v>
      </c>
      <c r="AH3" s="249" t="s">
        <v>519</v>
      </c>
      <c r="AN3" s="249" t="s">
        <v>17</v>
      </c>
      <c r="AO3" s="248">
        <v>50965</v>
      </c>
      <c r="AP3" s="248">
        <v>1.17</v>
      </c>
      <c r="AQ3" s="249" t="s">
        <v>374</v>
      </c>
      <c r="AR3" s="249" t="s">
        <v>365</v>
      </c>
      <c r="AS3" s="249" t="s">
        <v>454</v>
      </c>
      <c r="AT3" s="248">
        <v>217486</v>
      </c>
    </row>
    <row r="4" spans="1:46" ht="12.75">
      <c r="A4" s="248">
        <v>115036.07</v>
      </c>
      <c r="B4" s="249" t="s">
        <v>455</v>
      </c>
      <c r="D4" s="249" t="s">
        <v>456</v>
      </c>
      <c r="E4" s="249" t="s">
        <v>520</v>
      </c>
      <c r="F4" s="249" t="s">
        <v>521</v>
      </c>
      <c r="H4" s="249" t="s">
        <v>364</v>
      </c>
      <c r="I4" s="249" t="s">
        <v>365</v>
      </c>
      <c r="J4" s="249" t="s">
        <v>366</v>
      </c>
      <c r="K4" s="249" t="s">
        <v>367</v>
      </c>
      <c r="L4" s="249" t="s">
        <v>457</v>
      </c>
      <c r="M4" s="249" t="s">
        <v>365</v>
      </c>
      <c r="N4" s="249" t="s">
        <v>366</v>
      </c>
      <c r="O4" s="249" t="s">
        <v>368</v>
      </c>
      <c r="P4" s="249" t="s">
        <v>458</v>
      </c>
      <c r="Q4" s="249" t="s">
        <v>370</v>
      </c>
      <c r="R4" s="249" t="s">
        <v>439</v>
      </c>
      <c r="S4" s="249" t="s">
        <v>440</v>
      </c>
      <c r="T4" s="249" t="s">
        <v>410</v>
      </c>
      <c r="V4" s="248">
        <v>10866</v>
      </c>
      <c r="Z4" s="249" t="s">
        <v>373</v>
      </c>
      <c r="AA4" s="248">
        <v>132830</v>
      </c>
      <c r="AB4" s="248">
        <v>308200</v>
      </c>
      <c r="AC4" s="248">
        <v>441030</v>
      </c>
      <c r="AD4" s="249" t="s">
        <v>518</v>
      </c>
      <c r="AE4" s="248">
        <v>132830</v>
      </c>
      <c r="AF4" s="248">
        <v>308200</v>
      </c>
      <c r="AG4" s="248">
        <v>441030</v>
      </c>
      <c r="AH4" s="249" t="s">
        <v>519</v>
      </c>
      <c r="AN4" s="249" t="s">
        <v>17</v>
      </c>
      <c r="AO4" s="248">
        <v>41818</v>
      </c>
      <c r="AP4" s="248">
        <v>0.96</v>
      </c>
      <c r="AQ4" s="249" t="s">
        <v>374</v>
      </c>
      <c r="AR4" s="249" t="s">
        <v>365</v>
      </c>
      <c r="AS4" s="249" t="s">
        <v>459</v>
      </c>
      <c r="AT4" s="248">
        <v>216353</v>
      </c>
    </row>
    <row r="5" spans="1:46" ht="12.75">
      <c r="A5" s="248">
        <v>112953.14</v>
      </c>
      <c r="B5" s="249" t="s">
        <v>360</v>
      </c>
      <c r="D5" s="249" t="s">
        <v>361</v>
      </c>
      <c r="E5" s="249" t="s">
        <v>362</v>
      </c>
      <c r="F5" s="249" t="s">
        <v>363</v>
      </c>
      <c r="H5" s="249" t="s">
        <v>364</v>
      </c>
      <c r="I5" s="249" t="s">
        <v>365</v>
      </c>
      <c r="J5" s="249" t="s">
        <v>366</v>
      </c>
      <c r="K5" s="249" t="s">
        <v>367</v>
      </c>
      <c r="M5" s="249" t="s">
        <v>365</v>
      </c>
      <c r="N5" s="249" t="s">
        <v>366</v>
      </c>
      <c r="O5" s="249" t="s">
        <v>368</v>
      </c>
      <c r="P5" s="249" t="s">
        <v>369</v>
      </c>
      <c r="Q5" s="249" t="s">
        <v>370</v>
      </c>
      <c r="R5" s="249" t="s">
        <v>17</v>
      </c>
      <c r="S5" s="249" t="s">
        <v>371</v>
      </c>
      <c r="T5" s="249" t="s">
        <v>372</v>
      </c>
      <c r="Z5" s="249" t="s">
        <v>373</v>
      </c>
      <c r="AA5" s="248">
        <v>0</v>
      </c>
      <c r="AB5" s="248">
        <v>0</v>
      </c>
      <c r="AC5" s="248">
        <v>0</v>
      </c>
      <c r="AD5" s="249" t="s">
        <v>518</v>
      </c>
      <c r="AE5" s="248">
        <v>0</v>
      </c>
      <c r="AF5" s="248">
        <v>0</v>
      </c>
      <c r="AG5" s="248">
        <v>0</v>
      </c>
      <c r="AH5" s="249" t="s">
        <v>519</v>
      </c>
      <c r="AN5" s="249" t="s">
        <v>17</v>
      </c>
      <c r="AQ5" s="249" t="s">
        <v>374</v>
      </c>
      <c r="AR5" s="249" t="s">
        <v>365</v>
      </c>
      <c r="AS5" s="249" t="s">
        <v>375</v>
      </c>
      <c r="AT5" s="248">
        <v>210177</v>
      </c>
    </row>
    <row r="6" spans="1:46" ht="12.75">
      <c r="A6" s="248">
        <v>86863.91</v>
      </c>
      <c r="B6" s="249" t="s">
        <v>376</v>
      </c>
      <c r="D6" s="249" t="s">
        <v>377</v>
      </c>
      <c r="E6" s="249" t="s">
        <v>378</v>
      </c>
      <c r="H6" s="249" t="s">
        <v>364</v>
      </c>
      <c r="I6" s="249" t="s">
        <v>365</v>
      </c>
      <c r="J6" s="249" t="s">
        <v>366</v>
      </c>
      <c r="K6" s="249" t="s">
        <v>367</v>
      </c>
      <c r="L6" s="249" t="s">
        <v>379</v>
      </c>
      <c r="M6" s="249" t="s">
        <v>365</v>
      </c>
      <c r="N6" s="249" t="s">
        <v>366</v>
      </c>
      <c r="O6" s="249" t="s">
        <v>368</v>
      </c>
      <c r="P6" s="249" t="s">
        <v>380</v>
      </c>
      <c r="Q6" s="249" t="s">
        <v>370</v>
      </c>
      <c r="R6" s="249" t="s">
        <v>18</v>
      </c>
      <c r="S6" s="249" t="s">
        <v>381</v>
      </c>
      <c r="T6" s="249" t="s">
        <v>382</v>
      </c>
      <c r="U6" s="249" t="s">
        <v>383</v>
      </c>
      <c r="V6" s="248">
        <v>1192</v>
      </c>
      <c r="W6" s="248">
        <v>3</v>
      </c>
      <c r="Z6" s="249" t="s">
        <v>373</v>
      </c>
      <c r="AA6" s="248">
        <v>129520</v>
      </c>
      <c r="AB6" s="248">
        <v>35640</v>
      </c>
      <c r="AC6" s="248">
        <v>165160</v>
      </c>
      <c r="AD6" s="249" t="s">
        <v>518</v>
      </c>
      <c r="AE6" s="248">
        <v>143770</v>
      </c>
      <c r="AF6" s="248">
        <v>39560</v>
      </c>
      <c r="AG6" s="248">
        <v>183330</v>
      </c>
      <c r="AH6" s="249" t="s">
        <v>519</v>
      </c>
      <c r="AN6" s="249" t="s">
        <v>17</v>
      </c>
      <c r="AQ6" s="249" t="s">
        <v>374</v>
      </c>
      <c r="AR6" s="249" t="s">
        <v>365</v>
      </c>
      <c r="AS6" s="249" t="s">
        <v>384</v>
      </c>
      <c r="AT6" s="248">
        <v>210929</v>
      </c>
    </row>
    <row r="7" spans="1:46" ht="12.75">
      <c r="A7" s="248">
        <v>87213.72</v>
      </c>
      <c r="B7" s="249" t="s">
        <v>385</v>
      </c>
      <c r="D7" s="249" t="s">
        <v>386</v>
      </c>
      <c r="E7" s="249" t="s">
        <v>362</v>
      </c>
      <c r="F7" s="249" t="s">
        <v>363</v>
      </c>
      <c r="H7" s="249" t="s">
        <v>364</v>
      </c>
      <c r="I7" s="249" t="s">
        <v>365</v>
      </c>
      <c r="J7" s="249" t="s">
        <v>366</v>
      </c>
      <c r="K7" s="249" t="s">
        <v>367</v>
      </c>
      <c r="L7" s="249" t="s">
        <v>387</v>
      </c>
      <c r="M7" s="249" t="s">
        <v>365</v>
      </c>
      <c r="N7" s="249" t="s">
        <v>366</v>
      </c>
      <c r="O7" s="249" t="s">
        <v>368</v>
      </c>
      <c r="P7" s="249" t="s">
        <v>388</v>
      </c>
      <c r="Q7" s="249" t="s">
        <v>370</v>
      </c>
      <c r="R7" s="249" t="s">
        <v>18</v>
      </c>
      <c r="S7" s="249" t="s">
        <v>381</v>
      </c>
      <c r="T7" s="249" t="s">
        <v>389</v>
      </c>
      <c r="U7" s="249" t="s">
        <v>390</v>
      </c>
      <c r="V7" s="248">
        <v>2077</v>
      </c>
      <c r="W7" s="248">
        <v>2</v>
      </c>
      <c r="Z7" s="249" t="s">
        <v>373</v>
      </c>
      <c r="AA7" s="248">
        <v>111600</v>
      </c>
      <c r="AB7" s="248">
        <v>124110</v>
      </c>
      <c r="AC7" s="248">
        <v>235710</v>
      </c>
      <c r="AD7" s="249" t="s">
        <v>518</v>
      </c>
      <c r="AE7" s="248">
        <v>123870</v>
      </c>
      <c r="AF7" s="248">
        <v>137770</v>
      </c>
      <c r="AG7" s="248">
        <v>261640</v>
      </c>
      <c r="AH7" s="249" t="s">
        <v>519</v>
      </c>
      <c r="AN7" s="249" t="s">
        <v>17</v>
      </c>
      <c r="AQ7" s="249" t="s">
        <v>374</v>
      </c>
      <c r="AR7" s="249" t="s">
        <v>365</v>
      </c>
      <c r="AS7" s="249" t="s">
        <v>391</v>
      </c>
      <c r="AT7" s="248">
        <v>211218</v>
      </c>
    </row>
    <row r="8" spans="1:46" ht="12.75">
      <c r="A8" s="248">
        <v>98110.89</v>
      </c>
      <c r="B8" s="249" t="s">
        <v>392</v>
      </c>
      <c r="D8" s="249" t="s">
        <v>393</v>
      </c>
      <c r="E8" s="249" t="s">
        <v>394</v>
      </c>
      <c r="F8" s="249" t="s">
        <v>395</v>
      </c>
      <c r="G8" s="249" t="s">
        <v>396</v>
      </c>
      <c r="H8" s="249" t="s">
        <v>364</v>
      </c>
      <c r="I8" s="249" t="s">
        <v>365</v>
      </c>
      <c r="J8" s="249" t="s">
        <v>366</v>
      </c>
      <c r="K8" s="249" t="s">
        <v>367</v>
      </c>
      <c r="M8" s="249" t="s">
        <v>365</v>
      </c>
      <c r="N8" s="249" t="s">
        <v>366</v>
      </c>
      <c r="O8" s="249" t="s">
        <v>368</v>
      </c>
      <c r="P8" s="249" t="s">
        <v>397</v>
      </c>
      <c r="Q8" s="249" t="s">
        <v>370</v>
      </c>
      <c r="R8" s="249" t="s">
        <v>17</v>
      </c>
      <c r="S8" s="249" t="s">
        <v>371</v>
      </c>
      <c r="T8" s="249" t="s">
        <v>372</v>
      </c>
      <c r="Z8" s="249" t="s">
        <v>373</v>
      </c>
      <c r="AA8" s="248">
        <v>0</v>
      </c>
      <c r="AB8" s="248">
        <v>0</v>
      </c>
      <c r="AC8" s="248">
        <v>0</v>
      </c>
      <c r="AD8" s="249" t="s">
        <v>518</v>
      </c>
      <c r="AE8" s="248">
        <v>0</v>
      </c>
      <c r="AF8" s="248">
        <v>0</v>
      </c>
      <c r="AG8" s="248">
        <v>0</v>
      </c>
      <c r="AH8" s="249" t="s">
        <v>519</v>
      </c>
      <c r="AN8" s="249" t="s">
        <v>17</v>
      </c>
      <c r="AQ8" s="249" t="s">
        <v>374</v>
      </c>
      <c r="AR8" s="249" t="s">
        <v>365</v>
      </c>
      <c r="AS8" s="249" t="s">
        <v>398</v>
      </c>
      <c r="AT8" s="248">
        <v>211661</v>
      </c>
    </row>
    <row r="9" spans="1:46" ht="12.75">
      <c r="A9" s="248">
        <v>46869.36</v>
      </c>
      <c r="B9" s="249" t="s">
        <v>399</v>
      </c>
      <c r="D9" s="249" t="s">
        <v>400</v>
      </c>
      <c r="E9" s="249" t="s">
        <v>401</v>
      </c>
      <c r="F9" s="249" t="s">
        <v>402</v>
      </c>
      <c r="G9" s="249" t="s">
        <v>403</v>
      </c>
      <c r="H9" s="249" t="s">
        <v>404</v>
      </c>
      <c r="I9" s="249" t="s">
        <v>365</v>
      </c>
      <c r="J9" s="249" t="s">
        <v>366</v>
      </c>
      <c r="K9" s="249" t="s">
        <v>405</v>
      </c>
      <c r="L9" s="249" t="s">
        <v>406</v>
      </c>
      <c r="M9" s="249" t="s">
        <v>365</v>
      </c>
      <c r="N9" s="249" t="s">
        <v>366</v>
      </c>
      <c r="O9" s="249" t="s">
        <v>368</v>
      </c>
      <c r="P9" s="249" t="s">
        <v>407</v>
      </c>
      <c r="Q9" s="249" t="s">
        <v>370</v>
      </c>
      <c r="R9" s="249" t="s">
        <v>408</v>
      </c>
      <c r="S9" s="249" t="s">
        <v>409</v>
      </c>
      <c r="T9" s="249" t="s">
        <v>410</v>
      </c>
      <c r="Z9" s="249" t="s">
        <v>373</v>
      </c>
      <c r="AA9" s="248">
        <v>136950</v>
      </c>
      <c r="AB9" s="248">
        <v>249970</v>
      </c>
      <c r="AC9" s="248">
        <v>386920</v>
      </c>
      <c r="AD9" s="249" t="s">
        <v>518</v>
      </c>
      <c r="AE9" s="248">
        <v>136950</v>
      </c>
      <c r="AF9" s="248">
        <v>249970</v>
      </c>
      <c r="AG9" s="248">
        <v>386920</v>
      </c>
      <c r="AH9" s="249" t="s">
        <v>519</v>
      </c>
      <c r="AN9" s="249" t="s">
        <v>17</v>
      </c>
      <c r="AO9" s="248">
        <v>47045</v>
      </c>
      <c r="AP9" s="248">
        <v>1.08</v>
      </c>
      <c r="AQ9" s="249" t="s">
        <v>374</v>
      </c>
      <c r="AR9" s="249" t="s">
        <v>365</v>
      </c>
      <c r="AS9" s="249" t="s">
        <v>411</v>
      </c>
      <c r="AT9" s="248">
        <v>212202</v>
      </c>
    </row>
    <row r="10" spans="1:46" ht="12.75">
      <c r="A10" s="248">
        <v>563922.82</v>
      </c>
      <c r="B10" s="249" t="s">
        <v>424</v>
      </c>
      <c r="D10" s="249" t="s">
        <v>425</v>
      </c>
      <c r="E10" s="249" t="s">
        <v>426</v>
      </c>
      <c r="H10" s="249" t="s">
        <v>427</v>
      </c>
      <c r="I10" s="249" t="s">
        <v>365</v>
      </c>
      <c r="J10" s="249" t="s">
        <v>366</v>
      </c>
      <c r="K10" s="249" t="s">
        <v>428</v>
      </c>
      <c r="L10" s="249" t="s">
        <v>427</v>
      </c>
      <c r="M10" s="249" t="s">
        <v>365</v>
      </c>
      <c r="N10" s="249" t="s">
        <v>366</v>
      </c>
      <c r="O10" s="249" t="s">
        <v>368</v>
      </c>
      <c r="P10" s="249" t="s">
        <v>429</v>
      </c>
      <c r="Q10" s="249" t="s">
        <v>370</v>
      </c>
      <c r="R10" s="249" t="s">
        <v>430</v>
      </c>
      <c r="S10" s="249" t="s">
        <v>431</v>
      </c>
      <c r="T10" s="249" t="s">
        <v>421</v>
      </c>
      <c r="V10" s="248">
        <v>79192</v>
      </c>
      <c r="Z10" s="249" t="s">
        <v>373</v>
      </c>
      <c r="AA10" s="248">
        <v>2149740</v>
      </c>
      <c r="AB10" s="248">
        <v>3340000</v>
      </c>
      <c r="AC10" s="248">
        <v>5489740</v>
      </c>
      <c r="AD10" s="249" t="s">
        <v>518</v>
      </c>
      <c r="AE10" s="248">
        <v>2149740</v>
      </c>
      <c r="AF10" s="248">
        <v>3340000</v>
      </c>
      <c r="AG10" s="248">
        <v>5489740</v>
      </c>
      <c r="AH10" s="249" t="s">
        <v>519</v>
      </c>
      <c r="AL10" s="249" t="s">
        <v>432</v>
      </c>
      <c r="AM10" s="248">
        <v>550000</v>
      </c>
      <c r="AN10" s="249" t="s">
        <v>17</v>
      </c>
      <c r="AO10" s="248">
        <v>178439</v>
      </c>
      <c r="AP10" s="248">
        <v>4.0964</v>
      </c>
      <c r="AQ10" s="249" t="s">
        <v>374</v>
      </c>
      <c r="AR10" s="249" t="s">
        <v>365</v>
      </c>
      <c r="AS10" s="249" t="s">
        <v>433</v>
      </c>
      <c r="AT10" s="248">
        <v>212601</v>
      </c>
    </row>
    <row r="11" spans="1:46" ht="12.75">
      <c r="A11" s="248">
        <v>806738.63</v>
      </c>
      <c r="B11" s="249" t="s">
        <v>434</v>
      </c>
      <c r="D11" s="249" t="s">
        <v>435</v>
      </c>
      <c r="E11" s="249" t="s">
        <v>436</v>
      </c>
      <c r="H11" s="249" t="s">
        <v>364</v>
      </c>
      <c r="I11" s="249" t="s">
        <v>365</v>
      </c>
      <c r="J11" s="249" t="s">
        <v>366</v>
      </c>
      <c r="K11" s="249" t="s">
        <v>437</v>
      </c>
      <c r="L11" s="249" t="s">
        <v>387</v>
      </c>
      <c r="M11" s="249" t="s">
        <v>365</v>
      </c>
      <c r="N11" s="249" t="s">
        <v>366</v>
      </c>
      <c r="O11" s="249" t="s">
        <v>368</v>
      </c>
      <c r="P11" s="249" t="s">
        <v>438</v>
      </c>
      <c r="Q11" s="249" t="s">
        <v>370</v>
      </c>
      <c r="R11" s="249" t="s">
        <v>439</v>
      </c>
      <c r="S11" s="249" t="s">
        <v>440</v>
      </c>
      <c r="U11" s="249" t="s">
        <v>441</v>
      </c>
      <c r="V11" s="248">
        <v>460</v>
      </c>
      <c r="Z11" s="249" t="s">
        <v>373</v>
      </c>
      <c r="AA11" s="248">
        <v>0</v>
      </c>
      <c r="AB11" s="248">
        <v>3600</v>
      </c>
      <c r="AC11" s="248">
        <v>3600</v>
      </c>
      <c r="AD11" s="249" t="s">
        <v>518</v>
      </c>
      <c r="AE11" s="248">
        <v>0</v>
      </c>
      <c r="AF11" s="248">
        <v>3600</v>
      </c>
      <c r="AG11" s="248">
        <v>3600</v>
      </c>
      <c r="AH11" s="249" t="s">
        <v>519</v>
      </c>
      <c r="AN11" s="249" t="s">
        <v>17</v>
      </c>
      <c r="AQ11" s="249" t="s">
        <v>374</v>
      </c>
      <c r="AR11" s="249" t="s">
        <v>365</v>
      </c>
      <c r="AS11" s="249" t="s">
        <v>442</v>
      </c>
      <c r="AT11" s="248">
        <v>211034</v>
      </c>
    </row>
    <row r="12" spans="1:46" ht="12.75">
      <c r="A12" s="248">
        <v>124197.23</v>
      </c>
      <c r="B12" s="249" t="s">
        <v>460</v>
      </c>
      <c r="D12" s="249" t="s">
        <v>461</v>
      </c>
      <c r="E12" s="249" t="s">
        <v>462</v>
      </c>
      <c r="F12" s="249" t="s">
        <v>463</v>
      </c>
      <c r="H12" s="249" t="s">
        <v>464</v>
      </c>
      <c r="I12" s="249" t="s">
        <v>365</v>
      </c>
      <c r="J12" s="249" t="s">
        <v>366</v>
      </c>
      <c r="K12" s="249" t="s">
        <v>465</v>
      </c>
      <c r="L12" s="249" t="s">
        <v>466</v>
      </c>
      <c r="M12" s="249" t="s">
        <v>365</v>
      </c>
      <c r="N12" s="249" t="s">
        <v>366</v>
      </c>
      <c r="O12" s="249" t="s">
        <v>368</v>
      </c>
      <c r="P12" s="249" t="s">
        <v>467</v>
      </c>
      <c r="Q12" s="249" t="s">
        <v>370</v>
      </c>
      <c r="R12" s="249" t="s">
        <v>18</v>
      </c>
      <c r="S12" s="249" t="s">
        <v>381</v>
      </c>
      <c r="T12" s="249" t="s">
        <v>468</v>
      </c>
      <c r="U12" s="249" t="s">
        <v>469</v>
      </c>
      <c r="V12" s="248">
        <v>934</v>
      </c>
      <c r="W12" s="248">
        <v>2</v>
      </c>
      <c r="Z12" s="249" t="s">
        <v>373</v>
      </c>
      <c r="AA12" s="248">
        <v>78290</v>
      </c>
      <c r="AB12" s="248">
        <v>110</v>
      </c>
      <c r="AC12" s="248">
        <v>78400</v>
      </c>
      <c r="AD12" s="249" t="s">
        <v>518</v>
      </c>
      <c r="AE12" s="248">
        <v>86900</v>
      </c>
      <c r="AF12" s="248">
        <v>120</v>
      </c>
      <c r="AG12" s="248">
        <v>87020</v>
      </c>
      <c r="AH12" s="249" t="s">
        <v>519</v>
      </c>
      <c r="AL12" s="249" t="s">
        <v>470</v>
      </c>
      <c r="AM12" s="248">
        <v>212529</v>
      </c>
      <c r="AN12" s="249" t="s">
        <v>17</v>
      </c>
      <c r="AQ12" s="249" t="s">
        <v>374</v>
      </c>
      <c r="AR12" s="249" t="s">
        <v>365</v>
      </c>
      <c r="AS12" s="249" t="s">
        <v>471</v>
      </c>
      <c r="AT12" s="248">
        <v>213399</v>
      </c>
    </row>
    <row r="13" spans="1:46" ht="12.75">
      <c r="A13" s="248">
        <v>271183.08</v>
      </c>
      <c r="B13" s="249" t="s">
        <v>472</v>
      </c>
      <c r="D13" s="249" t="s">
        <v>473</v>
      </c>
      <c r="E13" s="249" t="s">
        <v>520</v>
      </c>
      <c r="F13" s="249" t="s">
        <v>521</v>
      </c>
      <c r="H13" s="249" t="s">
        <v>364</v>
      </c>
      <c r="I13" s="249" t="s">
        <v>365</v>
      </c>
      <c r="J13" s="249" t="s">
        <v>366</v>
      </c>
      <c r="K13" s="249" t="s">
        <v>367</v>
      </c>
      <c r="L13" s="249" t="s">
        <v>474</v>
      </c>
      <c r="M13" s="249" t="s">
        <v>365</v>
      </c>
      <c r="N13" s="249" t="s">
        <v>366</v>
      </c>
      <c r="O13" s="249" t="s">
        <v>368</v>
      </c>
      <c r="P13" s="249" t="s">
        <v>475</v>
      </c>
      <c r="Q13" s="249" t="s">
        <v>370</v>
      </c>
      <c r="R13" s="249" t="s">
        <v>18</v>
      </c>
      <c r="S13" s="249" t="s">
        <v>381</v>
      </c>
      <c r="T13" s="249" t="s">
        <v>468</v>
      </c>
      <c r="U13" s="249" t="s">
        <v>476</v>
      </c>
      <c r="V13" s="248">
        <v>2311</v>
      </c>
      <c r="W13" s="248">
        <v>3</v>
      </c>
      <c r="Z13" s="249" t="s">
        <v>373</v>
      </c>
      <c r="AA13" s="248">
        <v>63440</v>
      </c>
      <c r="AB13" s="248">
        <v>28430</v>
      </c>
      <c r="AC13" s="248">
        <v>91870</v>
      </c>
      <c r="AD13" s="249" t="s">
        <v>518</v>
      </c>
      <c r="AE13" s="248">
        <v>70410</v>
      </c>
      <c r="AF13" s="248">
        <v>31560</v>
      </c>
      <c r="AG13" s="248">
        <v>101970</v>
      </c>
      <c r="AH13" s="249" t="s">
        <v>519</v>
      </c>
      <c r="AN13" s="249" t="s">
        <v>17</v>
      </c>
      <c r="AQ13" s="249" t="s">
        <v>374</v>
      </c>
      <c r="AR13" s="249" t="s">
        <v>365</v>
      </c>
      <c r="AS13" s="249" t="s">
        <v>477</v>
      </c>
      <c r="AT13" s="248">
        <v>212916</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2">
    <pageSetUpPr fitToPage="1"/>
  </sheetPr>
  <dimension ref="A1:H56"/>
  <sheetViews>
    <sheetView workbookViewId="0" topLeftCell="A6">
      <selection activeCell="A22" sqref="A22"/>
    </sheetView>
  </sheetViews>
  <sheetFormatPr defaultColWidth="9.140625" defaultRowHeight="12.75"/>
  <cols>
    <col min="1" max="2" width="4.28125" style="130" customWidth="1"/>
    <col min="3" max="3" width="85.28125" style="130" bestFit="1" customWidth="1"/>
    <col min="4" max="4" width="18.57421875" style="130" bestFit="1" customWidth="1"/>
    <col min="5" max="6" width="17.28125" style="130" bestFit="1" customWidth="1"/>
    <col min="7" max="7" width="1.8515625" style="130" customWidth="1"/>
    <col min="8" max="16384" width="9.140625" style="130" customWidth="1"/>
  </cols>
  <sheetData>
    <row r="1" spans="1:6" ht="15">
      <c r="A1" s="127" t="s">
        <v>23</v>
      </c>
      <c r="B1" s="127"/>
      <c r="C1" s="128"/>
      <c r="D1" s="129"/>
      <c r="E1" s="129"/>
      <c r="F1" s="129"/>
    </row>
    <row r="2" spans="1:6" ht="15">
      <c r="A2" s="127" t="s">
        <v>24</v>
      </c>
      <c r="B2" s="127"/>
      <c r="C2" s="128"/>
      <c r="D2" s="129"/>
      <c r="E2" s="129"/>
      <c r="F2" s="129"/>
    </row>
    <row r="3" spans="1:6" ht="12.75">
      <c r="A3" s="127"/>
      <c r="B3" s="127"/>
      <c r="C3" s="129"/>
      <c r="D3" s="129"/>
      <c r="E3" s="129"/>
      <c r="F3" s="129"/>
    </row>
    <row r="9" spans="1:6" ht="13.5" thickBot="1">
      <c r="A9" s="131"/>
      <c r="B9" s="131"/>
      <c r="C9" s="131"/>
      <c r="D9" s="131"/>
      <c r="E9" s="131"/>
      <c r="F9" s="131"/>
    </row>
    <row r="10" spans="1:6" ht="13.5" thickTop="1">
      <c r="A10" s="111"/>
      <c r="B10" s="111"/>
      <c r="C10" s="111"/>
      <c r="D10" s="111"/>
      <c r="E10" s="111"/>
      <c r="F10" s="111"/>
    </row>
    <row r="11" spans="1:7" ht="17.25" customHeight="1">
      <c r="A11" s="132" t="s">
        <v>287</v>
      </c>
      <c r="B11" s="132"/>
      <c r="C11" s="133"/>
      <c r="D11" s="134"/>
      <c r="E11" s="134"/>
      <c r="F11" s="134"/>
      <c r="G11" s="135"/>
    </row>
    <row r="12" spans="1:7" ht="17.25" customHeight="1">
      <c r="A12" s="133"/>
      <c r="B12" s="133" t="s">
        <v>288</v>
      </c>
      <c r="C12" s="133"/>
      <c r="D12" s="134"/>
      <c r="E12" s="134"/>
      <c r="F12" s="134"/>
      <c r="G12" s="135"/>
    </row>
    <row r="13" spans="1:8" ht="17.25" customHeight="1">
      <c r="A13" s="133"/>
      <c r="B13" s="133"/>
      <c r="C13" s="136" t="s">
        <v>289</v>
      </c>
      <c r="D13" s="137">
        <f>'LID Preliminary Estimate - S'!D13+'LID Preliminary Estimate - N'!D13</f>
        <v>704956.05</v>
      </c>
      <c r="E13" s="133"/>
      <c r="G13" s="135"/>
      <c r="H13" s="138"/>
    </row>
    <row r="14" spans="1:8" ht="17.25" customHeight="1">
      <c r="A14" s="133"/>
      <c r="B14" s="133"/>
      <c r="C14" s="136" t="s">
        <v>290</v>
      </c>
      <c r="D14" s="137">
        <f>'LID Preliminary Estimate - S'!D14+'LID Preliminary Estimate - N'!D14</f>
        <v>214368</v>
      </c>
      <c r="E14" s="133"/>
      <c r="G14" s="135"/>
      <c r="H14" s="138"/>
    </row>
    <row r="15" spans="1:7" ht="17.25" customHeight="1">
      <c r="A15" s="133"/>
      <c r="B15" s="133"/>
      <c r="C15" s="136" t="s">
        <v>291</v>
      </c>
      <c r="D15" s="137">
        <f>'LID Preliminary Estimate - S'!D15+'LID Preliminary Estimate - N'!D15</f>
        <v>0</v>
      </c>
      <c r="E15" s="133"/>
      <c r="G15" s="135"/>
    </row>
    <row r="16" spans="1:7" ht="17.25" customHeight="1">
      <c r="A16" s="133"/>
      <c r="B16" s="133"/>
      <c r="C16" s="133" t="s">
        <v>9</v>
      </c>
      <c r="D16" s="141"/>
      <c r="E16" s="142">
        <f>SUM(D13:D15)</f>
        <v>919324.05</v>
      </c>
      <c r="F16" s="143"/>
      <c r="G16" s="135"/>
    </row>
    <row r="17" spans="1:7" ht="17.25" customHeight="1">
      <c r="A17" s="133"/>
      <c r="B17" s="133"/>
      <c r="C17" s="144"/>
      <c r="D17" s="133"/>
      <c r="E17" s="133"/>
      <c r="G17" s="135"/>
    </row>
    <row r="18" spans="1:7" ht="17.25" customHeight="1">
      <c r="A18" s="144" t="s">
        <v>292</v>
      </c>
      <c r="B18" s="133"/>
      <c r="C18" s="144"/>
      <c r="D18" s="133"/>
      <c r="E18" s="133"/>
      <c r="G18" s="135"/>
    </row>
    <row r="19" spans="1:7" ht="17.25" customHeight="1">
      <c r="A19" s="144"/>
      <c r="B19" s="133" t="s">
        <v>293</v>
      </c>
      <c r="C19" s="144"/>
      <c r="D19" s="133"/>
      <c r="E19" s="133"/>
      <c r="G19" s="135"/>
    </row>
    <row r="20" spans="1:7" ht="17.25" customHeight="1">
      <c r="A20" s="133"/>
      <c r="B20" s="133"/>
      <c r="C20" s="133" t="s">
        <v>294</v>
      </c>
      <c r="D20" s="137">
        <f>'LID Preliminary Estimate - S'!D20+'LID Preliminary Estimate - N'!D20</f>
        <v>176214.78</v>
      </c>
      <c r="E20" s="145"/>
      <c r="G20" s="135"/>
    </row>
    <row r="21" spans="1:7" ht="17.25" customHeight="1">
      <c r="A21" s="133"/>
      <c r="B21" s="133"/>
      <c r="C21" s="133" t="s">
        <v>295</v>
      </c>
      <c r="D21" s="137">
        <f>'LID Preliminary Estimate - S'!D21+'LID Preliminary Estimate - N'!D21</f>
        <v>53585.22</v>
      </c>
      <c r="E21" s="145"/>
      <c r="G21" s="135"/>
    </row>
    <row r="22" spans="1:7" ht="17.25" customHeight="1">
      <c r="A22" s="133"/>
      <c r="B22" s="133"/>
      <c r="C22" s="133" t="s">
        <v>296</v>
      </c>
      <c r="D22" s="137">
        <f>'LID Preliminary Estimate - S'!D22+'LID Preliminary Estimate - N'!D22</f>
        <v>105666.38</v>
      </c>
      <c r="E22" s="145"/>
      <c r="G22" s="135"/>
    </row>
    <row r="23" spans="1:7" ht="17.25" customHeight="1" hidden="1">
      <c r="A23" s="133"/>
      <c r="B23" s="133"/>
      <c r="C23" s="133" t="s">
        <v>297</v>
      </c>
      <c r="D23" s="137" t="s">
        <v>313</v>
      </c>
      <c r="E23" s="146"/>
      <c r="G23" s="135"/>
    </row>
    <row r="24" spans="1:7" ht="17.25" customHeight="1">
      <c r="A24" s="133"/>
      <c r="B24" s="133"/>
      <c r="C24" s="133" t="s">
        <v>297</v>
      </c>
      <c r="D24" s="137">
        <f>'LID Preliminary Estimate - S'!D24+'LID Preliminary Estimate - N'!D24</f>
        <v>32133.62</v>
      </c>
      <c r="E24" s="146"/>
      <c r="G24" s="135"/>
    </row>
    <row r="25" spans="1:7" ht="17.25" customHeight="1">
      <c r="A25" s="133"/>
      <c r="B25" s="133"/>
      <c r="C25" s="133"/>
      <c r="D25" s="133"/>
      <c r="E25" s="147">
        <f>SUM(D20:D24)</f>
        <v>367600</v>
      </c>
      <c r="G25" s="135"/>
    </row>
    <row r="26" spans="1:7" ht="17.25" customHeight="1">
      <c r="A26" s="144" t="s">
        <v>298</v>
      </c>
      <c r="B26" s="133"/>
      <c r="C26" s="144"/>
      <c r="D26" s="133"/>
      <c r="E26" s="133"/>
      <c r="G26" s="135"/>
    </row>
    <row r="27" spans="1:7" ht="17.25" customHeight="1">
      <c r="A27" s="144"/>
      <c r="B27" s="133" t="s">
        <v>298</v>
      </c>
      <c r="C27" s="144"/>
      <c r="D27" s="137">
        <f>'LID Preliminary Estimate - S'!D27+'LID Preliminary Estimate - N'!D27</f>
        <v>46000</v>
      </c>
      <c r="E27" s="133"/>
      <c r="G27" s="135"/>
    </row>
    <row r="28" spans="1:7" ht="17.25" customHeight="1">
      <c r="A28" s="144"/>
      <c r="B28" s="133"/>
      <c r="C28" s="144"/>
      <c r="D28" s="133"/>
      <c r="E28" s="142">
        <f>D27</f>
        <v>46000</v>
      </c>
      <c r="G28" s="135"/>
    </row>
    <row r="29" spans="1:7" ht="17.25" customHeight="1">
      <c r="A29" s="144"/>
      <c r="B29" s="133"/>
      <c r="C29" s="144"/>
      <c r="D29" s="133"/>
      <c r="E29" s="141"/>
      <c r="G29" s="135"/>
    </row>
    <row r="30" spans="1:7" ht="17.25" customHeight="1">
      <c r="A30" s="144" t="s">
        <v>299</v>
      </c>
      <c r="B30" s="133"/>
      <c r="C30" s="133"/>
      <c r="D30" s="133"/>
      <c r="E30" s="133"/>
      <c r="G30" s="135"/>
    </row>
    <row r="31" spans="1:7" ht="17.25" customHeight="1">
      <c r="A31" s="133"/>
      <c r="B31" s="271" t="s">
        <v>289</v>
      </c>
      <c r="C31" s="271"/>
      <c r="D31" s="137">
        <f>'LID Preliminary Estimate - S'!D31+'LID Preliminary Estimate - N'!D31</f>
        <v>306573.43</v>
      </c>
      <c r="E31" s="141"/>
      <c r="G31" s="135"/>
    </row>
    <row r="32" spans="1:7" ht="17.25" customHeight="1">
      <c r="A32" s="133"/>
      <c r="B32" s="271" t="s">
        <v>290</v>
      </c>
      <c r="C32" s="271"/>
      <c r="D32" s="137">
        <f>'LID Preliminary Estimate - S'!D32+'LID Preliminary Estimate - N'!D32</f>
        <v>93226.57</v>
      </c>
      <c r="E32" s="141"/>
      <c r="G32" s="135"/>
    </row>
    <row r="33" spans="1:7" ht="17.25" customHeight="1">
      <c r="A33" s="133"/>
      <c r="B33" s="271" t="s">
        <v>291</v>
      </c>
      <c r="C33" s="271"/>
      <c r="D33" s="137">
        <f>'LID Preliminary Estimate - S'!D33+'LID Preliminary Estimate - N'!D33</f>
        <v>0</v>
      </c>
      <c r="E33" s="141"/>
      <c r="G33" s="135"/>
    </row>
    <row r="34" spans="1:7" ht="17.25" customHeight="1">
      <c r="A34" s="133"/>
      <c r="B34" s="133"/>
      <c r="C34" s="133"/>
      <c r="D34" s="133"/>
      <c r="E34" s="147">
        <f>SUM(D31:D33)</f>
        <v>399800</v>
      </c>
      <c r="G34" s="135"/>
    </row>
    <row r="35" spans="1:7" ht="17.25" customHeight="1">
      <c r="A35" s="133"/>
      <c r="B35" s="133"/>
      <c r="C35" s="133"/>
      <c r="D35" s="133"/>
      <c r="E35" s="141"/>
      <c r="G35" s="135"/>
    </row>
    <row r="36" spans="1:7" ht="17.25" customHeight="1">
      <c r="A36" s="144" t="s">
        <v>300</v>
      </c>
      <c r="B36" s="133"/>
      <c r="C36" s="133"/>
      <c r="D36" s="133"/>
      <c r="E36" s="133"/>
      <c r="G36" s="135"/>
    </row>
    <row r="37" spans="1:7" ht="17.25" customHeight="1">
      <c r="A37" s="144"/>
      <c r="B37" s="133" t="s">
        <v>301</v>
      </c>
      <c r="C37" s="133"/>
      <c r="D37" s="137">
        <f>'LID Preliminary Estimate - S'!D37+'LID Preliminary Estimate - N'!D37</f>
        <v>43318.100000000006</v>
      </c>
      <c r="E37" s="133"/>
      <c r="G37" s="135"/>
    </row>
    <row r="38" spans="1:7" ht="17.25" customHeight="1">
      <c r="A38" s="144"/>
      <c r="B38" s="133" t="s">
        <v>302</v>
      </c>
      <c r="C38" s="133"/>
      <c r="D38" s="137">
        <f>'LID Preliminary Estimate - S'!D38+'LID Preliminary Estimate - N'!D38</f>
        <v>7779.07</v>
      </c>
      <c r="E38" s="148"/>
      <c r="G38" s="135"/>
    </row>
    <row r="39" spans="1:7" ht="17.25" customHeight="1">
      <c r="A39" s="144"/>
      <c r="B39" s="133" t="s">
        <v>303</v>
      </c>
      <c r="C39" s="133"/>
      <c r="D39" s="137">
        <f>'LID Preliminary Estimate - S'!D39+'LID Preliminary Estimate - N'!D39</f>
        <v>336</v>
      </c>
      <c r="E39" s="133"/>
      <c r="G39" s="135"/>
    </row>
    <row r="40" spans="1:7" ht="17.25" customHeight="1">
      <c r="A40" s="144"/>
      <c r="B40" s="133"/>
      <c r="C40" s="133"/>
      <c r="D40" s="141"/>
      <c r="E40" s="142">
        <f>SUM(D37:D39)</f>
        <v>51433.170000000006</v>
      </c>
      <c r="G40" s="135"/>
    </row>
    <row r="41" spans="1:7" ht="17.25" customHeight="1">
      <c r="A41" s="144"/>
      <c r="B41" s="133"/>
      <c r="C41" s="133"/>
      <c r="D41" s="141"/>
      <c r="E41" s="141"/>
      <c r="G41" s="135"/>
    </row>
    <row r="42" spans="1:7" ht="17.25" customHeight="1">
      <c r="A42" s="144" t="s">
        <v>304</v>
      </c>
      <c r="B42" s="133"/>
      <c r="C42" s="133"/>
      <c r="D42" s="141"/>
      <c r="E42" s="133"/>
      <c r="G42" s="135"/>
    </row>
    <row r="43" spans="1:7" ht="17.25" customHeight="1">
      <c r="A43" s="144"/>
      <c r="B43" s="133" t="s">
        <v>305</v>
      </c>
      <c r="C43" s="133"/>
      <c r="D43" s="133"/>
      <c r="E43" s="149">
        <f>ROUND(((D13+D15+D20+D22+D27+D31+D33)*0.2426),2)</f>
        <v>324941.02</v>
      </c>
      <c r="G43" s="135"/>
    </row>
    <row r="44" spans="1:7" ht="17.25" customHeight="1" thickBot="1">
      <c r="A44" s="144"/>
      <c r="B44" s="144"/>
      <c r="C44" s="133"/>
      <c r="D44" s="133"/>
      <c r="E44" s="141"/>
      <c r="F44" s="133"/>
      <c r="G44" s="135"/>
    </row>
    <row r="45" spans="1:7" ht="17.25" customHeight="1" thickBot="1" thickTop="1">
      <c r="A45" s="144" t="s">
        <v>306</v>
      </c>
      <c r="B45" s="133"/>
      <c r="C45" s="133"/>
      <c r="D45" s="133"/>
      <c r="E45" s="133"/>
      <c r="F45" s="150">
        <f>E16+E25+E28+E34+E40+E43</f>
        <v>2109098.24</v>
      </c>
      <c r="G45" s="135"/>
    </row>
    <row r="46" spans="1:7" ht="17.25" customHeight="1" thickTop="1">
      <c r="A46" s="144"/>
      <c r="B46" s="133"/>
      <c r="C46" s="133"/>
      <c r="D46" s="133"/>
      <c r="E46" s="133"/>
      <c r="F46" s="141"/>
      <c r="G46" s="135"/>
    </row>
    <row r="47" spans="1:7" ht="17.25" customHeight="1">
      <c r="A47" s="144" t="s">
        <v>307</v>
      </c>
      <c r="B47" s="133"/>
      <c r="C47" s="133"/>
      <c r="D47" s="133"/>
      <c r="E47" s="133"/>
      <c r="F47" s="141"/>
      <c r="G47" s="135"/>
    </row>
    <row r="48" spans="1:7" ht="17.25" customHeight="1">
      <c r="A48" s="133"/>
      <c r="B48" s="133" t="s">
        <v>308</v>
      </c>
      <c r="C48" s="133"/>
      <c r="D48" s="137">
        <f>'LID Preliminary Estimate - S'!D48+'LID Preliminary Estimate - N'!D48</f>
        <v>1784157.2200000002</v>
      </c>
      <c r="E48" s="133"/>
      <c r="F48" s="133"/>
      <c r="G48" s="135"/>
    </row>
    <row r="49" spans="1:7" ht="17.25" customHeight="1">
      <c r="A49" s="133"/>
      <c r="B49" s="133" t="s">
        <v>309</v>
      </c>
      <c r="C49" s="133"/>
      <c r="D49" s="137">
        <f>'LID Preliminary Estimate - S'!D49+'LID Preliminary Estimate - N'!D49</f>
        <v>0</v>
      </c>
      <c r="E49" s="133"/>
      <c r="F49" s="133"/>
      <c r="G49" s="135"/>
    </row>
    <row r="50" spans="1:7" ht="17.25" customHeight="1">
      <c r="A50" s="133"/>
      <c r="B50" s="133"/>
      <c r="C50" s="133"/>
      <c r="D50" s="133"/>
      <c r="E50" s="142">
        <f>SUM(D48:D49)</f>
        <v>1784157.2200000002</v>
      </c>
      <c r="F50" s="133"/>
      <c r="G50" s="135"/>
    </row>
    <row r="51" spans="1:7" ht="17.25" customHeight="1">
      <c r="A51" s="144"/>
      <c r="B51" s="133"/>
      <c r="C51" s="133"/>
      <c r="D51" s="133"/>
      <c r="E51" s="133"/>
      <c r="F51" s="133"/>
      <c r="G51" s="135"/>
    </row>
    <row r="52" spans="1:7" ht="17.25" customHeight="1">
      <c r="A52" s="144" t="s">
        <v>310</v>
      </c>
      <c r="B52" s="133"/>
      <c r="C52" s="133"/>
      <c r="D52" s="133"/>
      <c r="F52" s="141"/>
      <c r="G52" s="135"/>
    </row>
    <row r="53" spans="1:7" ht="17.25" customHeight="1">
      <c r="A53" s="144"/>
      <c r="B53" s="133" t="s">
        <v>311</v>
      </c>
      <c r="C53" s="133"/>
      <c r="D53" s="137">
        <f>'LID Preliminary Estimate - S'!D53+'LID Preliminary Estimate - N'!D53</f>
        <v>324941.02</v>
      </c>
      <c r="E53" s="141"/>
      <c r="F53" s="141"/>
      <c r="G53" s="135"/>
    </row>
    <row r="54" spans="1:7" ht="17.25" customHeight="1">
      <c r="A54" s="144"/>
      <c r="B54" s="133"/>
      <c r="C54" s="133"/>
      <c r="D54" s="133"/>
      <c r="E54" s="142">
        <f>D53</f>
        <v>324941.02</v>
      </c>
      <c r="F54" s="141"/>
      <c r="G54" s="135"/>
    </row>
    <row r="55" spans="1:7" ht="17.25" customHeight="1" thickBot="1">
      <c r="A55" s="133"/>
      <c r="B55" s="133"/>
      <c r="C55" s="133"/>
      <c r="D55" s="133"/>
      <c r="E55" s="133"/>
      <c r="F55" s="141"/>
      <c r="G55" s="135"/>
    </row>
    <row r="56" spans="1:7" ht="17.25" customHeight="1" thickBot="1" thickTop="1">
      <c r="A56" s="144" t="s">
        <v>312</v>
      </c>
      <c r="B56" s="133"/>
      <c r="C56" s="133"/>
      <c r="D56" s="133"/>
      <c r="E56" s="133"/>
      <c r="F56" s="150">
        <f>E50+E54</f>
        <v>2109098.24</v>
      </c>
      <c r="G56" s="135"/>
    </row>
    <row r="57" ht="13.5" thickTop="1"/>
  </sheetData>
  <mergeCells count="3">
    <mergeCell ref="B31:C31"/>
    <mergeCell ref="B33:C33"/>
    <mergeCell ref="B32:C32"/>
  </mergeCells>
  <printOptions/>
  <pageMargins left="0.75" right="0.5" top="1" bottom="0.6" header="0.3" footer="0.3"/>
  <pageSetup fitToHeight="1" fitToWidth="1" horizontalDpi="400" verticalDpi="400" orientation="portrait" scale="64" r:id="rId2"/>
  <headerFooter alignWithMargins="0">
    <oddHeader>&amp;R&amp;8PDOT Center Code #159 42 518
PDOT Project #37352&amp;S
&amp;SAuditor File #C-10008&amp;S
&amp;SResolution #TBD</oddHeader>
    <oddFooter>&amp;L&amp;"Arial,Italic"&amp;8&amp;F&amp;R&amp;"Arial,Italic"&amp;9&amp;D &amp;T</oddFooter>
  </headerFooter>
  <drawing r:id="rId1"/>
</worksheet>
</file>

<file path=xl/worksheets/sheet5.xml><?xml version="1.0" encoding="utf-8"?>
<worksheet xmlns="http://schemas.openxmlformats.org/spreadsheetml/2006/main" xmlns:r="http://schemas.openxmlformats.org/officeDocument/2006/relationships">
  <sheetPr codeName="Sheet21">
    <pageSetUpPr fitToPage="1"/>
  </sheetPr>
  <dimension ref="A1:H56"/>
  <sheetViews>
    <sheetView workbookViewId="0" topLeftCell="D28">
      <selection activeCell="D39" sqref="D39"/>
    </sheetView>
  </sheetViews>
  <sheetFormatPr defaultColWidth="9.140625" defaultRowHeight="12.75"/>
  <cols>
    <col min="1" max="2" width="4.28125" style="130" customWidth="1"/>
    <col min="3" max="3" width="85.28125" style="130" bestFit="1" customWidth="1"/>
    <col min="4" max="4" width="18.57421875" style="130" bestFit="1" customWidth="1"/>
    <col min="5" max="6" width="17.28125" style="130" bestFit="1" customWidth="1"/>
    <col min="7" max="7" width="1.8515625" style="130" customWidth="1"/>
    <col min="8" max="16384" width="9.140625" style="130" customWidth="1"/>
  </cols>
  <sheetData>
    <row r="1" spans="1:6" ht="15">
      <c r="A1" s="127" t="s">
        <v>23</v>
      </c>
      <c r="B1" s="127"/>
      <c r="C1" s="128"/>
      <c r="D1" s="129"/>
      <c r="E1" s="129"/>
      <c r="F1" s="129"/>
    </row>
    <row r="2" spans="1:6" ht="15">
      <c r="A2" s="127" t="s">
        <v>24</v>
      </c>
      <c r="B2" s="127"/>
      <c r="C2" s="128"/>
      <c r="D2" s="129"/>
      <c r="E2" s="129"/>
      <c r="F2" s="129"/>
    </row>
    <row r="3" spans="1:6" ht="12.75">
      <c r="A3" s="127"/>
      <c r="B3" s="127"/>
      <c r="C3" s="129"/>
      <c r="D3" s="129"/>
      <c r="E3" s="129"/>
      <c r="F3" s="129"/>
    </row>
    <row r="9" spans="1:6" ht="13.5" thickBot="1">
      <c r="A9" s="131"/>
      <c r="B9" s="131"/>
      <c r="C9" s="131"/>
      <c r="D9" s="131"/>
      <c r="E9" s="131"/>
      <c r="F9" s="131"/>
    </row>
    <row r="10" spans="1:6" ht="13.5" thickTop="1">
      <c r="A10" s="111"/>
      <c r="B10" s="111"/>
      <c r="C10" s="111"/>
      <c r="D10" s="111"/>
      <c r="E10" s="111"/>
      <c r="F10" s="111"/>
    </row>
    <row r="11" spans="1:7" ht="17.25" customHeight="1">
      <c r="A11" s="132" t="s">
        <v>287</v>
      </c>
      <c r="B11" s="132"/>
      <c r="C11" s="133"/>
      <c r="D11" s="134"/>
      <c r="E11" s="134"/>
      <c r="F11" s="134"/>
      <c r="G11" s="135"/>
    </row>
    <row r="12" spans="1:7" ht="17.25" customHeight="1">
      <c r="A12" s="133"/>
      <c r="B12" s="133" t="s">
        <v>288</v>
      </c>
      <c r="C12" s="133"/>
      <c r="D12" s="134"/>
      <c r="E12" s="134"/>
      <c r="F12" s="134"/>
      <c r="G12" s="135"/>
    </row>
    <row r="13" spans="1:8" ht="17.25" customHeight="1">
      <c r="A13" s="133"/>
      <c r="B13" s="133"/>
      <c r="C13" s="136" t="s">
        <v>289</v>
      </c>
      <c r="D13" s="137">
        <f>'Trapold Property'!F212-D14</f>
        <v>58795.54999999999</v>
      </c>
      <c r="E13" s="133"/>
      <c r="G13" s="135"/>
      <c r="H13" s="138"/>
    </row>
    <row r="14" spans="1:8" ht="17.25" customHeight="1">
      <c r="A14" s="133"/>
      <c r="B14" s="133"/>
      <c r="C14" s="136" t="s">
        <v>290</v>
      </c>
      <c r="D14" s="139">
        <f>ROUND((('Trapold Property'!F77+'Trapold Property'!F79+'Trapold Property'!F89+'Trapold Property'!F95)*1.05),2)</f>
        <v>14868</v>
      </c>
      <c r="E14" s="133"/>
      <c r="G14" s="135"/>
      <c r="H14" s="138"/>
    </row>
    <row r="15" spans="1:7" ht="17.25" customHeight="1">
      <c r="A15" s="133"/>
      <c r="B15" s="133"/>
      <c r="C15" s="136" t="s">
        <v>291</v>
      </c>
      <c r="D15" s="140">
        <v>0</v>
      </c>
      <c r="E15" s="133"/>
      <c r="G15" s="135"/>
    </row>
    <row r="16" spans="1:7" ht="17.25" customHeight="1">
      <c r="A16" s="133"/>
      <c r="B16" s="133"/>
      <c r="C16" s="133" t="s">
        <v>9</v>
      </c>
      <c r="D16" s="141"/>
      <c r="E16" s="142">
        <f>SUM(D13:D15)</f>
        <v>73663.54999999999</v>
      </c>
      <c r="F16" s="143"/>
      <c r="G16" s="135"/>
    </row>
    <row r="17" spans="1:7" ht="17.25" customHeight="1">
      <c r="A17" s="133"/>
      <c r="B17" s="133"/>
      <c r="C17" s="144"/>
      <c r="D17" s="133"/>
      <c r="E17" s="133"/>
      <c r="G17" s="135"/>
    </row>
    <row r="18" spans="1:7" ht="17.25" customHeight="1">
      <c r="A18" s="144" t="s">
        <v>292</v>
      </c>
      <c r="B18" s="133"/>
      <c r="C18" s="144"/>
      <c r="D18" s="133"/>
      <c r="E18" s="133"/>
      <c r="G18" s="135"/>
    </row>
    <row r="19" spans="1:7" ht="17.25" customHeight="1">
      <c r="A19" s="144"/>
      <c r="B19" s="133" t="s">
        <v>293</v>
      </c>
      <c r="C19" s="144"/>
      <c r="D19" s="133"/>
      <c r="E19" s="133"/>
      <c r="G19" s="135"/>
    </row>
    <row r="20" spans="1:7" ht="17.25" customHeight="1">
      <c r="A20" s="133"/>
      <c r="B20" s="133"/>
      <c r="C20" s="133" t="s">
        <v>294</v>
      </c>
      <c r="D20" s="137">
        <f>ROUND(((D13/E16)*'Trapold Property'!F215),2)</f>
        <v>14686.21</v>
      </c>
      <c r="E20" s="145"/>
      <c r="G20" s="135"/>
    </row>
    <row r="21" spans="1:7" ht="17.25" customHeight="1">
      <c r="A21" s="133"/>
      <c r="B21" s="133"/>
      <c r="C21" s="133" t="s">
        <v>295</v>
      </c>
      <c r="D21" s="137">
        <f>ROUND(((D14/E16)*'Trapold Property'!F215),2)</f>
        <v>3713.79</v>
      </c>
      <c r="E21" s="145"/>
      <c r="G21" s="135"/>
    </row>
    <row r="22" spans="1:7" ht="17.25" customHeight="1">
      <c r="A22" s="133"/>
      <c r="B22" s="133"/>
      <c r="C22" s="133" t="s">
        <v>296</v>
      </c>
      <c r="D22" s="137">
        <f>ROUND(((D13/E16)*'Trapold Property'!F216),2)</f>
        <v>8779.8</v>
      </c>
      <c r="E22" s="145"/>
      <c r="G22" s="135"/>
    </row>
    <row r="23" spans="1:7" ht="17.25" customHeight="1" hidden="1">
      <c r="A23" s="133"/>
      <c r="B23" s="133"/>
      <c r="C23" s="133" t="s">
        <v>297</v>
      </c>
      <c r="D23" s="137" t="s">
        <v>313</v>
      </c>
      <c r="E23" s="146"/>
      <c r="G23" s="135"/>
    </row>
    <row r="24" spans="1:7" ht="17.25" customHeight="1">
      <c r="A24" s="133"/>
      <c r="B24" s="133"/>
      <c r="C24" s="133" t="s">
        <v>297</v>
      </c>
      <c r="D24" s="137">
        <f>ROUND(((D14/E16)*'Trapold Property'!F216),2)</f>
        <v>2220.2</v>
      </c>
      <c r="E24" s="146"/>
      <c r="G24" s="135"/>
    </row>
    <row r="25" spans="1:7" ht="17.25" customHeight="1">
      <c r="A25" s="133"/>
      <c r="B25" s="133"/>
      <c r="C25" s="133"/>
      <c r="D25" s="133"/>
      <c r="E25" s="147">
        <f>SUM(D20:D24)</f>
        <v>29400</v>
      </c>
      <c r="G25" s="135"/>
    </row>
    <row r="26" spans="1:7" ht="17.25" customHeight="1">
      <c r="A26" s="144" t="s">
        <v>298</v>
      </c>
      <c r="B26" s="133"/>
      <c r="C26" s="144"/>
      <c r="D26" s="133"/>
      <c r="E26" s="133"/>
      <c r="G26" s="135"/>
    </row>
    <row r="27" spans="1:7" ht="17.25" customHeight="1">
      <c r="A27" s="144"/>
      <c r="B27" s="133" t="s">
        <v>298</v>
      </c>
      <c r="C27" s="144"/>
      <c r="D27" s="140">
        <f>'Trapold Property'!F214</f>
        <v>3700</v>
      </c>
      <c r="E27" s="133"/>
      <c r="G27" s="135"/>
    </row>
    <row r="28" spans="1:7" ht="17.25" customHeight="1">
      <c r="A28" s="144"/>
      <c r="B28" s="133"/>
      <c r="C28" s="144"/>
      <c r="D28" s="133"/>
      <c r="E28" s="142">
        <f>D27</f>
        <v>3700</v>
      </c>
      <c r="G28" s="135"/>
    </row>
    <row r="29" spans="1:7" ht="17.25" customHeight="1">
      <c r="A29" s="144"/>
      <c r="B29" s="133"/>
      <c r="C29" s="144"/>
      <c r="D29" s="133"/>
      <c r="E29" s="141"/>
      <c r="G29" s="135"/>
    </row>
    <row r="30" spans="1:7" ht="17.25" customHeight="1">
      <c r="A30" s="144" t="s">
        <v>299</v>
      </c>
      <c r="B30" s="133"/>
      <c r="C30" s="133"/>
      <c r="D30" s="133"/>
      <c r="E30" s="133"/>
      <c r="G30" s="135"/>
    </row>
    <row r="31" spans="1:7" ht="17.25" customHeight="1">
      <c r="A31" s="133"/>
      <c r="B31" s="271" t="s">
        <v>289</v>
      </c>
      <c r="C31" s="271"/>
      <c r="D31" s="137">
        <f>ROUND(((D13/E16)*'Trapold Property'!F223),2)</f>
        <v>25541.23</v>
      </c>
      <c r="E31" s="141"/>
      <c r="G31" s="135"/>
    </row>
    <row r="32" spans="1:7" ht="17.25" customHeight="1">
      <c r="A32" s="133"/>
      <c r="B32" s="271" t="s">
        <v>290</v>
      </c>
      <c r="C32" s="271"/>
      <c r="D32" s="137">
        <f>ROUND(((D14/E16)*'Trapold Property'!F223),2)</f>
        <v>6458.77</v>
      </c>
      <c r="E32" s="141"/>
      <c r="G32" s="135"/>
    </row>
    <row r="33" spans="1:7" ht="17.25" customHeight="1">
      <c r="A33" s="133"/>
      <c r="B33" s="271" t="s">
        <v>291</v>
      </c>
      <c r="C33" s="271"/>
      <c r="D33" s="137">
        <v>0</v>
      </c>
      <c r="E33" s="141"/>
      <c r="G33" s="135"/>
    </row>
    <row r="34" spans="1:7" ht="17.25" customHeight="1">
      <c r="A34" s="133"/>
      <c r="B34" s="133"/>
      <c r="C34" s="133"/>
      <c r="D34" s="133"/>
      <c r="E34" s="147">
        <f>SUM(D31:D33)</f>
        <v>32000</v>
      </c>
      <c r="G34" s="135"/>
    </row>
    <row r="35" spans="1:7" ht="17.25" customHeight="1">
      <c r="A35" s="133"/>
      <c r="B35" s="133"/>
      <c r="C35" s="133"/>
      <c r="D35" s="133"/>
      <c r="E35" s="141"/>
      <c r="G35" s="135"/>
    </row>
    <row r="36" spans="1:7" ht="17.25" customHeight="1">
      <c r="A36" s="144" t="s">
        <v>300</v>
      </c>
      <c r="B36" s="133"/>
      <c r="C36" s="133"/>
      <c r="D36" s="133"/>
      <c r="E36" s="133"/>
      <c r="G36" s="135"/>
    </row>
    <row r="37" spans="1:7" ht="17.25" customHeight="1">
      <c r="A37" s="144"/>
      <c r="B37" s="133" t="s">
        <v>301</v>
      </c>
      <c r="C37" s="133"/>
      <c r="D37" s="141">
        <f>ROUND(('Trapold Property'!F226*0.5*0.05),2)</f>
        <v>3469.09</v>
      </c>
      <c r="E37" s="133"/>
      <c r="G37" s="135"/>
    </row>
    <row r="38" spans="1:7" ht="17.25" customHeight="1">
      <c r="A38" s="144"/>
      <c r="B38" s="133" t="s">
        <v>302</v>
      </c>
      <c r="C38" s="133"/>
      <c r="D38" s="141">
        <f>ROUND(((E16+E25+E28+E34+D37)*0.00438),2)</f>
        <v>622.98</v>
      </c>
      <c r="E38" s="148"/>
      <c r="G38" s="135"/>
    </row>
    <row r="39" spans="1:7" ht="17.25" customHeight="1">
      <c r="A39" s="144"/>
      <c r="B39" s="133" t="s">
        <v>303</v>
      </c>
      <c r="C39" s="133"/>
      <c r="D39" s="141">
        <f>'Assessment Worksheet'!A8*28</f>
        <v>84</v>
      </c>
      <c r="E39" s="133"/>
      <c r="G39" s="135"/>
    </row>
    <row r="40" spans="1:7" ht="17.25" customHeight="1">
      <c r="A40" s="144"/>
      <c r="B40" s="133"/>
      <c r="C40" s="133"/>
      <c r="D40" s="141"/>
      <c r="E40" s="142">
        <f>SUM(D37:D39)</f>
        <v>4176.07</v>
      </c>
      <c r="G40" s="135"/>
    </row>
    <row r="41" spans="1:7" ht="17.25" customHeight="1">
      <c r="A41" s="144"/>
      <c r="B41" s="133"/>
      <c r="C41" s="133"/>
      <c r="D41" s="141"/>
      <c r="E41" s="141"/>
      <c r="G41" s="135"/>
    </row>
    <row r="42" spans="1:7" ht="17.25" customHeight="1">
      <c r="A42" s="144" t="s">
        <v>304</v>
      </c>
      <c r="B42" s="133"/>
      <c r="C42" s="133"/>
      <c r="D42" s="141"/>
      <c r="E42" s="133"/>
      <c r="G42" s="135"/>
    </row>
    <row r="43" spans="1:7" ht="17.25" customHeight="1">
      <c r="A43" s="144"/>
      <c r="B43" s="133" t="s">
        <v>305</v>
      </c>
      <c r="C43" s="133"/>
      <c r="D43" s="133"/>
      <c r="E43" s="149">
        <f>ROUND(((D13+D15+D20+D22+D27+D31+D33)*0.2426),2)</f>
        <v>27050.58</v>
      </c>
      <c r="G43" s="135"/>
    </row>
    <row r="44" spans="1:7" ht="17.25" customHeight="1" thickBot="1">
      <c r="A44" s="144"/>
      <c r="B44" s="144"/>
      <c r="C44" s="133"/>
      <c r="D44" s="133"/>
      <c r="E44" s="141"/>
      <c r="F44" s="133"/>
      <c r="G44" s="135"/>
    </row>
    <row r="45" spans="1:7" ht="17.25" customHeight="1" thickBot="1" thickTop="1">
      <c r="A45" s="144" t="s">
        <v>306</v>
      </c>
      <c r="B45" s="133"/>
      <c r="C45" s="133"/>
      <c r="D45" s="133"/>
      <c r="E45" s="133"/>
      <c r="F45" s="150">
        <f>E16+E25+E28+E34+E40+E43</f>
        <v>169990.2</v>
      </c>
      <c r="G45" s="135"/>
    </row>
    <row r="46" spans="1:7" ht="17.25" customHeight="1" thickTop="1">
      <c r="A46" s="144"/>
      <c r="B46" s="133"/>
      <c r="C46" s="133"/>
      <c r="D46" s="133"/>
      <c r="E46" s="133"/>
      <c r="F46" s="141"/>
      <c r="G46" s="135"/>
    </row>
    <row r="47" spans="1:7" ht="17.25" customHeight="1">
      <c r="A47" s="144" t="s">
        <v>307</v>
      </c>
      <c r="B47" s="133"/>
      <c r="C47" s="133"/>
      <c r="D47" s="133"/>
      <c r="E47" s="133"/>
      <c r="F47" s="141"/>
      <c r="G47" s="135"/>
    </row>
    <row r="48" spans="1:7" ht="17.25" customHeight="1">
      <c r="A48" s="133"/>
      <c r="B48" s="133" t="s">
        <v>308</v>
      </c>
      <c r="C48" s="133"/>
      <c r="D48" s="151">
        <f>F45-D15-D53</f>
        <v>142939.62</v>
      </c>
      <c r="E48" s="133"/>
      <c r="F48" s="133"/>
      <c r="G48" s="135"/>
    </row>
    <row r="49" spans="1:7" ht="17.25" customHeight="1">
      <c r="A49" s="133"/>
      <c r="B49" s="133" t="s">
        <v>309</v>
      </c>
      <c r="C49" s="133"/>
      <c r="D49" s="151">
        <f>D15</f>
        <v>0</v>
      </c>
      <c r="E49" s="133"/>
      <c r="F49" s="133"/>
      <c r="G49" s="135"/>
    </row>
    <row r="50" spans="1:7" ht="17.25" customHeight="1">
      <c r="A50" s="133"/>
      <c r="B50" s="133"/>
      <c r="C50" s="133"/>
      <c r="D50" s="133"/>
      <c r="E50" s="142">
        <f>SUM(D48:D49)</f>
        <v>142939.62</v>
      </c>
      <c r="F50" s="133"/>
      <c r="G50" s="135"/>
    </row>
    <row r="51" spans="1:7" ht="17.25" customHeight="1">
      <c r="A51" s="144"/>
      <c r="B51" s="133"/>
      <c r="C51" s="133"/>
      <c r="D51" s="133"/>
      <c r="E51" s="133"/>
      <c r="F51" s="133"/>
      <c r="G51" s="135"/>
    </row>
    <row r="52" spans="1:7" ht="17.25" customHeight="1">
      <c r="A52" s="144" t="s">
        <v>310</v>
      </c>
      <c r="B52" s="133"/>
      <c r="C52" s="133"/>
      <c r="D52" s="133"/>
      <c r="F52" s="141"/>
      <c r="G52" s="135"/>
    </row>
    <row r="53" spans="1:7" ht="17.25" customHeight="1">
      <c r="A53" s="144"/>
      <c r="B53" s="133" t="s">
        <v>311</v>
      </c>
      <c r="C53" s="133"/>
      <c r="D53" s="148">
        <f>E43</f>
        <v>27050.58</v>
      </c>
      <c r="E53" s="141"/>
      <c r="F53" s="141"/>
      <c r="G53" s="135"/>
    </row>
    <row r="54" spans="1:7" ht="17.25" customHeight="1">
      <c r="A54" s="144"/>
      <c r="B54" s="133"/>
      <c r="C54" s="133"/>
      <c r="D54" s="133"/>
      <c r="E54" s="142">
        <f>D53</f>
        <v>27050.58</v>
      </c>
      <c r="F54" s="141"/>
      <c r="G54" s="135"/>
    </row>
    <row r="55" spans="1:7" ht="17.25" customHeight="1" thickBot="1">
      <c r="A55" s="133"/>
      <c r="B55" s="133"/>
      <c r="C55" s="133"/>
      <c r="D55" s="133"/>
      <c r="E55" s="133"/>
      <c r="F55" s="141"/>
      <c r="G55" s="135"/>
    </row>
    <row r="56" spans="1:7" ht="17.25" customHeight="1" thickBot="1" thickTop="1">
      <c r="A56" s="144" t="s">
        <v>312</v>
      </c>
      <c r="B56" s="133"/>
      <c r="C56" s="133"/>
      <c r="D56" s="133"/>
      <c r="E56" s="133"/>
      <c r="F56" s="150">
        <f>E50+E54</f>
        <v>169990.2</v>
      </c>
      <c r="G56" s="135"/>
    </row>
    <row r="57" ht="13.5" thickTop="1"/>
  </sheetData>
  <mergeCells count="3">
    <mergeCell ref="B31:C31"/>
    <mergeCell ref="B33:C33"/>
    <mergeCell ref="B32:C32"/>
  </mergeCells>
  <printOptions/>
  <pageMargins left="0.75" right="0.5" top="1" bottom="0.6" header="0.3" footer="0.3"/>
  <pageSetup fitToHeight="1" fitToWidth="1" horizontalDpi="400" verticalDpi="400" orientation="portrait" scale="64" r:id="rId2"/>
  <headerFooter alignWithMargins="0">
    <oddHeader>&amp;R&amp;8PDOT Center Code #159 42 510
PDOT Project #61479&amp;S
&amp;SAuditor File #C-10007&amp;S
&amp;SResolution #36183</oddHeader>
    <oddFooter>&amp;L&amp;"Arial,Italic"&amp;8&amp;F&amp;R&amp;"Arial,Italic"&amp;9&amp;D &amp;T</oddFooter>
  </headerFooter>
  <drawing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H56"/>
  <sheetViews>
    <sheetView workbookViewId="0" topLeftCell="D28">
      <selection activeCell="D39" sqref="D39"/>
    </sheetView>
  </sheetViews>
  <sheetFormatPr defaultColWidth="9.140625" defaultRowHeight="12.75"/>
  <cols>
    <col min="1" max="2" width="4.28125" style="130" customWidth="1"/>
    <col min="3" max="3" width="85.28125" style="130" bestFit="1" customWidth="1"/>
    <col min="4" max="4" width="18.57421875" style="130" bestFit="1" customWidth="1"/>
    <col min="5" max="6" width="17.28125" style="130" bestFit="1" customWidth="1"/>
    <col min="7" max="7" width="1.8515625" style="130" customWidth="1"/>
    <col min="8" max="16384" width="9.140625" style="130" customWidth="1"/>
  </cols>
  <sheetData>
    <row r="1" spans="1:6" ht="15">
      <c r="A1" s="127" t="s">
        <v>23</v>
      </c>
      <c r="B1" s="127"/>
      <c r="C1" s="128"/>
      <c r="D1" s="129"/>
      <c r="E1" s="129"/>
      <c r="F1" s="129"/>
    </row>
    <row r="2" spans="1:6" ht="15">
      <c r="A2" s="127" t="s">
        <v>24</v>
      </c>
      <c r="B2" s="127"/>
      <c r="C2" s="128"/>
      <c r="D2" s="129"/>
      <c r="E2" s="129"/>
      <c r="F2" s="129"/>
    </row>
    <row r="3" spans="1:6" ht="12.75">
      <c r="A3" s="127"/>
      <c r="B3" s="127"/>
      <c r="C3" s="129"/>
      <c r="D3" s="129"/>
      <c r="E3" s="129"/>
      <c r="F3" s="129"/>
    </row>
    <row r="9" spans="1:6" ht="13.5" thickBot="1">
      <c r="A9" s="131"/>
      <c r="B9" s="131"/>
      <c r="C9" s="131"/>
      <c r="D9" s="131"/>
      <c r="E9" s="131"/>
      <c r="F9" s="131"/>
    </row>
    <row r="10" spans="1:6" ht="13.5" thickTop="1">
      <c r="A10" s="111"/>
      <c r="B10" s="111"/>
      <c r="C10" s="111"/>
      <c r="D10" s="111"/>
      <c r="E10" s="111"/>
      <c r="F10" s="111"/>
    </row>
    <row r="11" spans="1:7" ht="17.25" customHeight="1">
      <c r="A11" s="132" t="s">
        <v>287</v>
      </c>
      <c r="B11" s="132"/>
      <c r="C11" s="133"/>
      <c r="D11" s="134"/>
      <c r="E11" s="134"/>
      <c r="F11" s="134"/>
      <c r="G11" s="135"/>
    </row>
    <row r="12" spans="1:7" ht="17.25" customHeight="1">
      <c r="A12" s="133"/>
      <c r="B12" s="133" t="s">
        <v>288</v>
      </c>
      <c r="C12" s="133"/>
      <c r="D12" s="134"/>
      <c r="E12" s="134"/>
      <c r="F12" s="134"/>
      <c r="G12" s="135"/>
    </row>
    <row r="13" spans="1:8" ht="17.25" customHeight="1">
      <c r="A13" s="133"/>
      <c r="B13" s="133"/>
      <c r="C13" s="136" t="s">
        <v>289</v>
      </c>
      <c r="D13" s="137">
        <f>'Nth Trapold to Marine'!F218-D14</f>
        <v>646160.5</v>
      </c>
      <c r="E13" s="133"/>
      <c r="G13" s="135"/>
      <c r="H13" s="138"/>
    </row>
    <row r="14" spans="1:8" ht="17.25" customHeight="1">
      <c r="A14" s="133"/>
      <c r="B14" s="133"/>
      <c r="C14" s="136" t="s">
        <v>290</v>
      </c>
      <c r="D14" s="139">
        <f>ROUND((('Nth Trapold to Marine'!F187+'Nth Trapold to Marine'!F203+'Nth Trapold to Marine'!F204)*1.05),2)</f>
        <v>199500</v>
      </c>
      <c r="E14" s="133"/>
      <c r="G14" s="135"/>
      <c r="H14" s="138"/>
    </row>
    <row r="15" spans="1:7" ht="17.25" customHeight="1">
      <c r="A15" s="133"/>
      <c r="B15" s="133"/>
      <c r="C15" s="136" t="s">
        <v>291</v>
      </c>
      <c r="D15" s="140">
        <v>0</v>
      </c>
      <c r="E15" s="133"/>
      <c r="G15" s="135"/>
    </row>
    <row r="16" spans="1:7" ht="17.25" customHeight="1">
      <c r="A16" s="133"/>
      <c r="B16" s="133"/>
      <c r="C16" s="133" t="s">
        <v>9</v>
      </c>
      <c r="D16" s="141"/>
      <c r="E16" s="142">
        <f>SUM(D13:D15)</f>
        <v>845660.5</v>
      </c>
      <c r="F16" s="143"/>
      <c r="G16" s="135"/>
    </row>
    <row r="17" spans="1:7" ht="17.25" customHeight="1">
      <c r="A17" s="133"/>
      <c r="B17" s="133"/>
      <c r="C17" s="144"/>
      <c r="D17" s="133"/>
      <c r="E17" s="133"/>
      <c r="G17" s="135"/>
    </row>
    <row r="18" spans="1:7" ht="17.25" customHeight="1">
      <c r="A18" s="144" t="s">
        <v>292</v>
      </c>
      <c r="B18" s="133"/>
      <c r="C18" s="144"/>
      <c r="D18" s="133"/>
      <c r="E18" s="133"/>
      <c r="G18" s="135"/>
    </row>
    <row r="19" spans="1:7" ht="17.25" customHeight="1">
      <c r="A19" s="144"/>
      <c r="B19" s="133" t="s">
        <v>293</v>
      </c>
      <c r="C19" s="144"/>
      <c r="D19" s="133"/>
      <c r="E19" s="133"/>
      <c r="G19" s="135"/>
    </row>
    <row r="20" spans="1:7" ht="17.25" customHeight="1">
      <c r="A20" s="133"/>
      <c r="B20" s="133"/>
      <c r="C20" s="133" t="s">
        <v>294</v>
      </c>
      <c r="D20" s="137">
        <f>ROUND(((D13/E16)*'Nth Trapold to Marine'!F221),2)</f>
        <v>161528.57</v>
      </c>
      <c r="E20" s="145"/>
      <c r="G20" s="135"/>
    </row>
    <row r="21" spans="1:7" ht="17.25" customHeight="1">
      <c r="A21" s="133"/>
      <c r="B21" s="133"/>
      <c r="C21" s="133" t="s">
        <v>295</v>
      </c>
      <c r="D21" s="137">
        <f>ROUND(((D14/E16)*'Nth Trapold to Marine'!F221),2)</f>
        <v>49871.43</v>
      </c>
      <c r="E21" s="145"/>
      <c r="G21" s="135"/>
    </row>
    <row r="22" spans="1:7" ht="17.25" customHeight="1">
      <c r="A22" s="133"/>
      <c r="B22" s="133"/>
      <c r="C22" s="133" t="s">
        <v>296</v>
      </c>
      <c r="D22" s="137">
        <f>ROUND(((D13/E16)*'Nth Trapold to Marine'!F222),2)</f>
        <v>96886.58</v>
      </c>
      <c r="E22" s="145"/>
      <c r="G22" s="135"/>
    </row>
    <row r="23" spans="1:7" ht="17.25" customHeight="1" hidden="1">
      <c r="A23" s="133"/>
      <c r="B23" s="133"/>
      <c r="C23" s="133" t="s">
        <v>297</v>
      </c>
      <c r="D23" s="137" t="s">
        <v>313</v>
      </c>
      <c r="E23" s="146"/>
      <c r="G23" s="135"/>
    </row>
    <row r="24" spans="1:7" ht="17.25" customHeight="1">
      <c r="A24" s="133"/>
      <c r="B24" s="133"/>
      <c r="C24" s="133" t="s">
        <v>297</v>
      </c>
      <c r="D24" s="137">
        <f>ROUND(((D14/E16)*'Nth Trapold to Marine'!F222),2)</f>
        <v>29913.42</v>
      </c>
      <c r="E24" s="146"/>
      <c r="G24" s="135"/>
    </row>
    <row r="25" spans="1:7" ht="17.25" customHeight="1">
      <c r="A25" s="133"/>
      <c r="B25" s="133"/>
      <c r="C25" s="133"/>
      <c r="D25" s="133"/>
      <c r="E25" s="147">
        <f>SUM(D20:D24)</f>
        <v>338200</v>
      </c>
      <c r="G25" s="135"/>
    </row>
    <row r="26" spans="1:7" ht="17.25" customHeight="1">
      <c r="A26" s="144" t="s">
        <v>298</v>
      </c>
      <c r="B26" s="133"/>
      <c r="C26" s="144"/>
      <c r="D26" s="133"/>
      <c r="E26" s="133"/>
      <c r="G26" s="135"/>
    </row>
    <row r="27" spans="1:7" ht="17.25" customHeight="1">
      <c r="A27" s="144"/>
      <c r="B27" s="133" t="s">
        <v>298</v>
      </c>
      <c r="C27" s="144"/>
      <c r="D27" s="140">
        <f>'Nth Trapold to Marine'!F220</f>
        <v>42300</v>
      </c>
      <c r="E27" s="133"/>
      <c r="G27" s="135"/>
    </row>
    <row r="28" spans="1:7" ht="17.25" customHeight="1">
      <c r="A28" s="144"/>
      <c r="B28" s="133"/>
      <c r="C28" s="144"/>
      <c r="D28" s="133"/>
      <c r="E28" s="142">
        <f>D27</f>
        <v>42300</v>
      </c>
      <c r="G28" s="135"/>
    </row>
    <row r="29" spans="1:7" ht="17.25" customHeight="1">
      <c r="A29" s="144"/>
      <c r="B29" s="133"/>
      <c r="C29" s="144"/>
      <c r="D29" s="133"/>
      <c r="E29" s="141"/>
      <c r="G29" s="135"/>
    </row>
    <row r="30" spans="1:7" ht="17.25" customHeight="1">
      <c r="A30" s="144" t="s">
        <v>299</v>
      </c>
      <c r="B30" s="133"/>
      <c r="C30" s="133"/>
      <c r="D30" s="133"/>
      <c r="E30" s="133"/>
      <c r="G30" s="135"/>
    </row>
    <row r="31" spans="1:7" ht="17.25" customHeight="1">
      <c r="A31" s="133"/>
      <c r="B31" s="271" t="s">
        <v>289</v>
      </c>
      <c r="C31" s="271"/>
      <c r="D31" s="137">
        <f>ROUND(((D13/E16)*'Nth Trapold to Marine'!F229),2)</f>
        <v>281032.2</v>
      </c>
      <c r="E31" s="141"/>
      <c r="G31" s="135"/>
    </row>
    <row r="32" spans="1:7" ht="17.25" customHeight="1">
      <c r="A32" s="133"/>
      <c r="B32" s="271" t="s">
        <v>290</v>
      </c>
      <c r="C32" s="271"/>
      <c r="D32" s="137">
        <f>ROUND(((D14/E16)*'Nth Trapold to Marine'!F229),2)</f>
        <v>86767.8</v>
      </c>
      <c r="E32" s="141"/>
      <c r="G32" s="135"/>
    </row>
    <row r="33" spans="1:7" ht="17.25" customHeight="1">
      <c r="A33" s="133"/>
      <c r="B33" s="271" t="s">
        <v>291</v>
      </c>
      <c r="C33" s="271"/>
      <c r="D33" s="137">
        <v>0</v>
      </c>
      <c r="E33" s="141"/>
      <c r="G33" s="135"/>
    </row>
    <row r="34" spans="1:7" ht="17.25" customHeight="1">
      <c r="A34" s="133"/>
      <c r="B34" s="133"/>
      <c r="C34" s="133"/>
      <c r="D34" s="133"/>
      <c r="E34" s="147">
        <f>SUM(D31:D33)</f>
        <v>367800</v>
      </c>
      <c r="G34" s="135"/>
    </row>
    <row r="35" spans="1:7" ht="17.25" customHeight="1">
      <c r="A35" s="133"/>
      <c r="B35" s="133"/>
      <c r="C35" s="133"/>
      <c r="D35" s="133"/>
      <c r="E35" s="141"/>
      <c r="G35" s="135"/>
    </row>
    <row r="36" spans="1:7" ht="17.25" customHeight="1">
      <c r="A36" s="144" t="s">
        <v>300</v>
      </c>
      <c r="B36" s="133"/>
      <c r="C36" s="133"/>
      <c r="D36" s="133"/>
      <c r="E36" s="133"/>
      <c r="G36" s="135"/>
    </row>
    <row r="37" spans="1:7" ht="17.25" customHeight="1">
      <c r="A37" s="144"/>
      <c r="B37" s="133" t="s">
        <v>301</v>
      </c>
      <c r="C37" s="133"/>
      <c r="D37" s="141">
        <f>ROUND(('Nth Trapold to Marine'!F232*0.5*0.05),2)</f>
        <v>39849.01</v>
      </c>
      <c r="E37" s="133"/>
      <c r="G37" s="135"/>
    </row>
    <row r="38" spans="1:7" ht="17.25" customHeight="1">
      <c r="A38" s="144"/>
      <c r="B38" s="133" t="s">
        <v>302</v>
      </c>
      <c r="C38" s="133"/>
      <c r="D38" s="141">
        <f>ROUND(((E16+E25+E28+E34+D37)*0.00438),2)</f>
        <v>7156.09</v>
      </c>
      <c r="E38" s="148"/>
      <c r="G38" s="135"/>
    </row>
    <row r="39" spans="1:7" ht="17.25" customHeight="1">
      <c r="A39" s="144"/>
      <c r="B39" s="133" t="s">
        <v>303</v>
      </c>
      <c r="C39" s="133"/>
      <c r="D39" s="141">
        <f>'Assessment Worksheet'!A24*28</f>
        <v>252</v>
      </c>
      <c r="E39" s="133"/>
      <c r="G39" s="135"/>
    </row>
    <row r="40" spans="1:7" ht="17.25" customHeight="1">
      <c r="A40" s="144"/>
      <c r="B40" s="133"/>
      <c r="C40" s="133"/>
      <c r="D40" s="141"/>
      <c r="E40" s="142">
        <f>SUM(D37:D39)</f>
        <v>47257.100000000006</v>
      </c>
      <c r="G40" s="135"/>
    </row>
    <row r="41" spans="1:7" ht="17.25" customHeight="1">
      <c r="A41" s="144"/>
      <c r="B41" s="133"/>
      <c r="C41" s="133"/>
      <c r="D41" s="141"/>
      <c r="E41" s="141"/>
      <c r="G41" s="135"/>
    </row>
    <row r="42" spans="1:7" ht="17.25" customHeight="1">
      <c r="A42" s="144" t="s">
        <v>304</v>
      </c>
      <c r="B42" s="133"/>
      <c r="C42" s="133"/>
      <c r="D42" s="141"/>
      <c r="E42" s="133"/>
      <c r="G42" s="135"/>
    </row>
    <row r="43" spans="1:7" ht="17.25" customHeight="1">
      <c r="A43" s="144"/>
      <c r="B43" s="133" t="s">
        <v>305</v>
      </c>
      <c r="C43" s="133"/>
      <c r="D43" s="133"/>
      <c r="E43" s="149">
        <f>ROUND(((D13+D15+D20+D22+D27+D31+D33)*0.2426),2)</f>
        <v>297890.44</v>
      </c>
      <c r="G43" s="135"/>
    </row>
    <row r="44" spans="1:7" ht="17.25" customHeight="1" thickBot="1">
      <c r="A44" s="144"/>
      <c r="B44" s="144"/>
      <c r="C44" s="133"/>
      <c r="D44" s="133"/>
      <c r="E44" s="141"/>
      <c r="F44" s="133"/>
      <c r="G44" s="135"/>
    </row>
    <row r="45" spans="1:7" ht="17.25" customHeight="1" thickBot="1" thickTop="1">
      <c r="A45" s="144" t="s">
        <v>306</v>
      </c>
      <c r="B45" s="133"/>
      <c r="C45" s="133"/>
      <c r="D45" s="133"/>
      <c r="E45" s="133"/>
      <c r="F45" s="150">
        <f>E16+E25+E28+E34+E40+E43</f>
        <v>1939108.04</v>
      </c>
      <c r="G45" s="135"/>
    </row>
    <row r="46" spans="1:7" ht="17.25" customHeight="1" thickTop="1">
      <c r="A46" s="144"/>
      <c r="B46" s="133"/>
      <c r="C46" s="133"/>
      <c r="D46" s="133"/>
      <c r="E46" s="133"/>
      <c r="F46" s="141"/>
      <c r="G46" s="135"/>
    </row>
    <row r="47" spans="1:7" ht="17.25" customHeight="1">
      <c r="A47" s="144" t="s">
        <v>307</v>
      </c>
      <c r="B47" s="133"/>
      <c r="C47" s="133"/>
      <c r="D47" s="133"/>
      <c r="E47" s="133"/>
      <c r="F47" s="141"/>
      <c r="G47" s="135"/>
    </row>
    <row r="48" spans="1:7" ht="17.25" customHeight="1">
      <c r="A48" s="133"/>
      <c r="B48" s="133" t="s">
        <v>308</v>
      </c>
      <c r="C48" s="133"/>
      <c r="D48" s="151">
        <f>F45-D15-D53</f>
        <v>1641217.6</v>
      </c>
      <c r="E48" s="133"/>
      <c r="F48" s="133"/>
      <c r="G48" s="135"/>
    </row>
    <row r="49" spans="1:7" ht="17.25" customHeight="1">
      <c r="A49" s="133"/>
      <c r="B49" s="133" t="s">
        <v>309</v>
      </c>
      <c r="C49" s="133"/>
      <c r="D49" s="151">
        <f>D15</f>
        <v>0</v>
      </c>
      <c r="E49" s="133"/>
      <c r="F49" s="133"/>
      <c r="G49" s="135"/>
    </row>
    <row r="50" spans="1:7" ht="17.25" customHeight="1">
      <c r="A50" s="133"/>
      <c r="B50" s="133"/>
      <c r="C50" s="133"/>
      <c r="D50" s="133"/>
      <c r="E50" s="142">
        <f>SUM(D48:D49)</f>
        <v>1641217.6</v>
      </c>
      <c r="F50" s="133"/>
      <c r="G50" s="135"/>
    </row>
    <row r="51" spans="1:7" ht="17.25" customHeight="1">
      <c r="A51" s="144"/>
      <c r="B51" s="133"/>
      <c r="C51" s="133"/>
      <c r="D51" s="133"/>
      <c r="E51" s="133"/>
      <c r="F51" s="133"/>
      <c r="G51" s="135"/>
    </row>
    <row r="52" spans="1:7" ht="17.25" customHeight="1">
      <c r="A52" s="144" t="s">
        <v>310</v>
      </c>
      <c r="B52" s="133"/>
      <c r="C52" s="133"/>
      <c r="D52" s="133"/>
      <c r="F52" s="141"/>
      <c r="G52" s="135"/>
    </row>
    <row r="53" spans="1:7" ht="17.25" customHeight="1">
      <c r="A53" s="144"/>
      <c r="B53" s="133" t="s">
        <v>311</v>
      </c>
      <c r="C53" s="133"/>
      <c r="D53" s="148">
        <f>E43</f>
        <v>297890.44</v>
      </c>
      <c r="E53" s="141"/>
      <c r="F53" s="141"/>
      <c r="G53" s="135"/>
    </row>
    <row r="54" spans="1:7" ht="17.25" customHeight="1">
      <c r="A54" s="144"/>
      <c r="B54" s="133"/>
      <c r="C54" s="133"/>
      <c r="D54" s="133"/>
      <c r="E54" s="142">
        <f>D53</f>
        <v>297890.44</v>
      </c>
      <c r="F54" s="141"/>
      <c r="G54" s="135"/>
    </row>
    <row r="55" spans="1:7" ht="17.25" customHeight="1" thickBot="1">
      <c r="A55" s="133"/>
      <c r="B55" s="133"/>
      <c r="C55" s="133"/>
      <c r="D55" s="133"/>
      <c r="E55" s="133"/>
      <c r="F55" s="141"/>
      <c r="G55" s="135"/>
    </row>
    <row r="56" spans="1:7" ht="17.25" customHeight="1" thickBot="1" thickTop="1">
      <c r="A56" s="144" t="s">
        <v>312</v>
      </c>
      <c r="B56" s="133"/>
      <c r="C56" s="133"/>
      <c r="D56" s="133"/>
      <c r="E56" s="133"/>
      <c r="F56" s="150">
        <f>E50+E54</f>
        <v>1939108.04</v>
      </c>
      <c r="G56" s="135"/>
    </row>
    <row r="57" ht="13.5" thickTop="1"/>
  </sheetData>
  <mergeCells count="3">
    <mergeCell ref="B31:C31"/>
    <mergeCell ref="B33:C33"/>
    <mergeCell ref="B32:C32"/>
  </mergeCells>
  <printOptions/>
  <pageMargins left="0.75" right="0.5" top="1" bottom="0.6" header="0.3" footer="0.3"/>
  <pageSetup fitToHeight="1" fitToWidth="1" horizontalDpi="400" verticalDpi="400" orientation="portrait" scale="64" r:id="rId2"/>
  <headerFooter alignWithMargins="0">
    <oddHeader>&amp;R&amp;8PDOT Center Code #159 42 510
PDOT Project #61479&amp;S
&amp;SAuditor File #C-10007&amp;S
&amp;SResolution #36183</oddHeader>
    <oddFooter>&amp;L&amp;"Arial,Italic"&amp;8&amp;F&amp;R&amp;"Arial,Italic"&amp;9&amp;D &amp;T</oddFooter>
  </headerFooter>
  <drawing r:id="rId1"/>
</worksheet>
</file>

<file path=xl/worksheets/sheet7.xml><?xml version="1.0" encoding="utf-8"?>
<worksheet xmlns="http://schemas.openxmlformats.org/spreadsheetml/2006/main" xmlns:r="http://schemas.openxmlformats.org/officeDocument/2006/relationships">
  <dimension ref="A1:J268"/>
  <sheetViews>
    <sheetView workbookViewId="0" topLeftCell="A1">
      <selection activeCell="A1" sqref="A1"/>
    </sheetView>
  </sheetViews>
  <sheetFormatPr defaultColWidth="9.140625" defaultRowHeight="12.75"/>
  <cols>
    <col min="1" max="1" width="4.421875" style="62" customWidth="1"/>
    <col min="2" max="2" width="40.7109375" style="8" customWidth="1"/>
    <col min="3" max="3" width="6.57421875" style="60" customWidth="1"/>
    <col min="4" max="4" width="16.57421875" style="8" customWidth="1"/>
    <col min="5" max="5" width="13.7109375" style="8" customWidth="1"/>
    <col min="6" max="6" width="18.28125" style="8" customWidth="1"/>
    <col min="7" max="7" width="7.140625" style="72" hidden="1" customWidth="1"/>
    <col min="8" max="8" width="12.140625" style="8" hidden="1" customWidth="1"/>
    <col min="9" max="9" width="21.140625" style="8" customWidth="1"/>
    <col min="10" max="10" width="10.421875" style="8" customWidth="1"/>
    <col min="11" max="16384" width="9.140625" style="8" customWidth="1"/>
  </cols>
  <sheetData>
    <row r="1" spans="1:7" ht="14.25" customHeight="1">
      <c r="A1" s="8"/>
      <c r="F1" s="61"/>
      <c r="G1" s="8"/>
    </row>
    <row r="2" spans="3:7" ht="14.25" customHeight="1">
      <c r="C2" s="63" t="s">
        <v>23</v>
      </c>
      <c r="D2" s="63"/>
      <c r="E2" s="64"/>
      <c r="F2" s="64"/>
      <c r="G2" s="8"/>
    </row>
    <row r="3" spans="3:7" ht="14.25" customHeight="1">
      <c r="C3" s="63" t="s">
        <v>24</v>
      </c>
      <c r="D3" s="63"/>
      <c r="E3" s="64"/>
      <c r="F3" s="64"/>
      <c r="G3" s="8"/>
    </row>
    <row r="4" spans="3:7" ht="14.25" customHeight="1">
      <c r="C4" s="63" t="s">
        <v>25</v>
      </c>
      <c r="D4" s="63"/>
      <c r="E4" s="64"/>
      <c r="F4" s="64"/>
      <c r="G4" s="8"/>
    </row>
    <row r="5" spans="3:7" ht="14.25" customHeight="1">
      <c r="C5" s="63" t="s">
        <v>26</v>
      </c>
      <c r="D5" s="63"/>
      <c r="E5" s="64"/>
      <c r="F5" s="64"/>
      <c r="G5" s="8"/>
    </row>
    <row r="6" spans="1:7" ht="14.25" customHeight="1">
      <c r="A6" s="65"/>
      <c r="B6" s="65"/>
      <c r="C6" s="66"/>
      <c r="D6" s="64"/>
      <c r="E6" s="64"/>
      <c r="F6" s="64"/>
      <c r="G6" s="8"/>
    </row>
    <row r="7" spans="1:7" ht="14.25" customHeight="1">
      <c r="A7" s="65"/>
      <c r="B7" s="65"/>
      <c r="C7" s="66"/>
      <c r="D7" s="64"/>
      <c r="E7" s="64"/>
      <c r="F7" s="64"/>
      <c r="G7" s="8"/>
    </row>
    <row r="8" spans="1:7" ht="14.25" customHeight="1">
      <c r="A8" s="65"/>
      <c r="B8" s="65"/>
      <c r="C8" s="66"/>
      <c r="D8" s="64"/>
      <c r="E8" s="64"/>
      <c r="F8" s="64"/>
      <c r="G8" s="8"/>
    </row>
    <row r="9" spans="1:7" ht="14.25" customHeight="1">
      <c r="A9" s="65"/>
      <c r="B9" s="65"/>
      <c r="C9" s="66"/>
      <c r="D9" s="64"/>
      <c r="E9" s="64"/>
      <c r="F9" s="64"/>
      <c r="G9" s="8"/>
    </row>
    <row r="10" spans="1:7" ht="14.25" customHeight="1">
      <c r="A10" s="65"/>
      <c r="B10" s="65"/>
      <c r="C10" s="66"/>
      <c r="D10" s="64"/>
      <c r="E10" s="64"/>
      <c r="F10" s="64"/>
      <c r="G10" s="8"/>
    </row>
    <row r="11" spans="1:7" ht="14.25" customHeight="1">
      <c r="A11" s="65"/>
      <c r="B11" s="65"/>
      <c r="C11" s="66"/>
      <c r="D11" s="64"/>
      <c r="E11" s="64"/>
      <c r="F11" s="64"/>
      <c r="G11" s="8"/>
    </row>
    <row r="12" spans="1:7" ht="14.25" customHeight="1">
      <c r="A12" s="67"/>
      <c r="B12" s="67"/>
      <c r="C12" s="66"/>
      <c r="D12" s="68"/>
      <c r="E12" s="68"/>
      <c r="F12" s="68"/>
      <c r="G12" s="8"/>
    </row>
    <row r="13" spans="1:7" ht="14.25" customHeight="1">
      <c r="A13" s="246" t="s">
        <v>27</v>
      </c>
      <c r="B13" s="246"/>
      <c r="C13" s="246"/>
      <c r="D13" s="246"/>
      <c r="E13" s="246"/>
      <c r="F13" s="246"/>
      <c r="G13" s="8"/>
    </row>
    <row r="14" spans="1:7" ht="14.25" customHeight="1">
      <c r="A14" s="69"/>
      <c r="B14" s="69"/>
      <c r="C14" s="70"/>
      <c r="D14" s="71"/>
      <c r="E14" s="71"/>
      <c r="F14" s="71"/>
      <c r="G14" s="8"/>
    </row>
    <row r="15" spans="1:6" ht="14.25" customHeight="1">
      <c r="A15" s="72" t="s">
        <v>28</v>
      </c>
      <c r="B15" s="8" t="s">
        <v>29</v>
      </c>
      <c r="C15" s="60" t="s">
        <v>30</v>
      </c>
      <c r="D15" s="72" t="s">
        <v>31</v>
      </c>
      <c r="E15" s="72" t="s">
        <v>32</v>
      </c>
      <c r="F15" s="72" t="s">
        <v>33</v>
      </c>
    </row>
    <row r="16" spans="1:10" s="74" customFormat="1" ht="12.75">
      <c r="A16" s="73">
        <v>1</v>
      </c>
      <c r="B16" s="74" t="s">
        <v>34</v>
      </c>
      <c r="C16" s="75" t="s">
        <v>35</v>
      </c>
      <c r="D16" s="76">
        <v>1</v>
      </c>
      <c r="E16" s="77">
        <f>ROUND((SUM(F$18:F$41)+SUM(F$43:F$187))*0.08,-2)</f>
        <v>50900</v>
      </c>
      <c r="F16" s="78">
        <f aca="true" t="shared" si="0" ref="F16:F21">D16*E16</f>
        <v>50900</v>
      </c>
      <c r="G16" s="24" t="str">
        <f aca="true" t="shared" si="1" ref="G16:G21">IF(C16="mg","ton",IF(C16="kl","kgal",IF(C16="m3","cy",IF(C16="m2","sy",IF(C16="m","lf",IF(C16="m3","cy",C16))))))</f>
        <v>ls</v>
      </c>
      <c r="H16" s="79">
        <f aca="true" t="shared" si="2" ref="H16:H21">IF(C16="mg",E16*0.9071847,IF(C16="kl",E16*3.785412,IF(C16="m3",E16*0.7645549,IF(C16="M2",E16*0.8361274,IF(C16="m",E16*0.3048,E16)))))</f>
        <v>50900</v>
      </c>
      <c r="J16" s="80"/>
    </row>
    <row r="17" spans="1:10" s="26" customFormat="1" ht="12.75">
      <c r="A17" s="81">
        <f aca="true" t="shared" si="3" ref="A17:A117">A16+1</f>
        <v>2</v>
      </c>
      <c r="B17" s="74" t="s">
        <v>252</v>
      </c>
      <c r="C17" s="75" t="s">
        <v>35</v>
      </c>
      <c r="D17" s="76">
        <v>1</v>
      </c>
      <c r="E17" s="82">
        <f>ROUND((SUM(F$18:F$41)+SUM(F$43:F$187))*0.04,-2)</f>
        <v>25400</v>
      </c>
      <c r="F17" s="83">
        <f t="shared" si="0"/>
        <v>25400</v>
      </c>
      <c r="G17" s="84" t="str">
        <f t="shared" si="1"/>
        <v>ls</v>
      </c>
      <c r="H17" s="85">
        <f t="shared" si="2"/>
        <v>25400</v>
      </c>
      <c r="J17" s="86"/>
    </row>
    <row r="18" spans="1:10" s="26" customFormat="1" ht="12.75" customHeight="1">
      <c r="A18" s="81">
        <f>A17+1</f>
        <v>3</v>
      </c>
      <c r="B18" s="74" t="s">
        <v>36</v>
      </c>
      <c r="C18" s="75" t="s">
        <v>37</v>
      </c>
      <c r="D18" s="76">
        <v>180</v>
      </c>
      <c r="E18" s="87">
        <v>17.25</v>
      </c>
      <c r="F18" s="83">
        <f t="shared" si="0"/>
        <v>3105</v>
      </c>
      <c r="G18" s="84" t="str">
        <f t="shared" si="1"/>
        <v>sqft</v>
      </c>
      <c r="H18" s="85">
        <f t="shared" si="2"/>
        <v>17.25</v>
      </c>
      <c r="J18" s="88"/>
    </row>
    <row r="19" spans="1:10" s="26" customFormat="1" ht="12.75">
      <c r="A19" s="81">
        <f t="shared" si="3"/>
        <v>4</v>
      </c>
      <c r="B19" s="74" t="s">
        <v>39</v>
      </c>
      <c r="C19" s="75" t="s">
        <v>40</v>
      </c>
      <c r="D19" s="76">
        <v>6</v>
      </c>
      <c r="E19" s="87">
        <v>140</v>
      </c>
      <c r="F19" s="83">
        <f t="shared" si="0"/>
        <v>840</v>
      </c>
      <c r="G19" s="84" t="str">
        <f t="shared" si="1"/>
        <v>each</v>
      </c>
      <c r="H19" s="85">
        <f t="shared" si="2"/>
        <v>140</v>
      </c>
      <c r="J19" s="88"/>
    </row>
    <row r="20" spans="1:10" s="26" customFormat="1" ht="12.75">
      <c r="A20" s="81">
        <f t="shared" si="3"/>
        <v>5</v>
      </c>
      <c r="B20" s="74" t="s">
        <v>41</v>
      </c>
      <c r="C20" s="75" t="s">
        <v>42</v>
      </c>
      <c r="D20" s="76"/>
      <c r="E20" s="87">
        <v>14.4</v>
      </c>
      <c r="F20" s="83">
        <f t="shared" si="0"/>
        <v>0</v>
      </c>
      <c r="G20" s="84" t="str">
        <f t="shared" si="1"/>
        <v>foot</v>
      </c>
      <c r="H20" s="85">
        <f t="shared" si="2"/>
        <v>14.4</v>
      </c>
      <c r="J20" s="88"/>
    </row>
    <row r="21" spans="1:10" s="26" customFormat="1" ht="12.75">
      <c r="A21" s="81">
        <f t="shared" si="3"/>
        <v>6</v>
      </c>
      <c r="B21" s="74" t="s">
        <v>43</v>
      </c>
      <c r="C21" s="75" t="s">
        <v>42</v>
      </c>
      <c r="D21" s="76"/>
      <c r="E21" s="87">
        <v>4.1</v>
      </c>
      <c r="F21" s="83">
        <f t="shared" si="0"/>
        <v>0</v>
      </c>
      <c r="G21" s="84" t="str">
        <f t="shared" si="1"/>
        <v>foot</v>
      </c>
      <c r="H21" s="85">
        <f t="shared" si="2"/>
        <v>4.1</v>
      </c>
      <c r="J21" s="88"/>
    </row>
    <row r="22" spans="1:10" s="26" customFormat="1" ht="12.75">
      <c r="A22" s="81">
        <f>A21+1</f>
        <v>7</v>
      </c>
      <c r="B22" s="74" t="s">
        <v>44</v>
      </c>
      <c r="C22" s="75" t="s">
        <v>40</v>
      </c>
      <c r="D22" s="76"/>
      <c r="E22" s="87">
        <v>2700</v>
      </c>
      <c r="F22" s="83">
        <f aca="true" t="shared" si="4" ref="F22:F53">D22*E22</f>
        <v>0</v>
      </c>
      <c r="G22" s="84"/>
      <c r="H22" s="85"/>
      <c r="J22" s="88"/>
    </row>
    <row r="23" spans="1:10" s="26" customFormat="1" ht="12.75">
      <c r="A23" s="81">
        <f>A22+1</f>
        <v>8</v>
      </c>
      <c r="B23" s="74" t="s">
        <v>45</v>
      </c>
      <c r="C23" s="75" t="s">
        <v>40</v>
      </c>
      <c r="D23" s="76"/>
      <c r="E23" s="87">
        <v>49</v>
      </c>
      <c r="F23" s="83">
        <f t="shared" si="4"/>
        <v>0</v>
      </c>
      <c r="G23" s="84" t="str">
        <f>IF(C23="mg","ton",IF(C23="kl","kgal",IF(C23="m3","cy",IF(C23="m2","sy",IF(C23="m","lf",IF(C23="m3","cy",C23))))))</f>
        <v>each</v>
      </c>
      <c r="H23" s="85">
        <f>IF(C23="mg",E23*0.9071847,IF(C23="kl",E23*3.785412,IF(C23="m3",E23*0.7645549,IF(C23="M2",E23*0.8361274,IF(C23="m",E23*0.3048,E23)))))</f>
        <v>49</v>
      </c>
      <c r="J23" s="88"/>
    </row>
    <row r="24" spans="1:10" s="26" customFormat="1" ht="12.75">
      <c r="A24" s="81">
        <f>A23+1</f>
        <v>9</v>
      </c>
      <c r="B24" s="74" t="s">
        <v>46</v>
      </c>
      <c r="C24" s="75" t="s">
        <v>40</v>
      </c>
      <c r="D24" s="76"/>
      <c r="E24" s="87">
        <v>2.5</v>
      </c>
      <c r="F24" s="83">
        <f t="shared" si="4"/>
        <v>0</v>
      </c>
      <c r="G24" s="84"/>
      <c r="H24" s="85"/>
      <c r="J24" s="88"/>
    </row>
    <row r="25" spans="1:10" s="26" customFormat="1" ht="12.75">
      <c r="A25" s="81">
        <f>A22+1</f>
        <v>8</v>
      </c>
      <c r="B25" s="74" t="s">
        <v>47</v>
      </c>
      <c r="C25" s="75" t="s">
        <v>40</v>
      </c>
      <c r="D25" s="76"/>
      <c r="E25" s="87">
        <v>1.25</v>
      </c>
      <c r="F25" s="83">
        <f t="shared" si="4"/>
        <v>0</v>
      </c>
      <c r="G25" s="84" t="str">
        <f>IF(C25="mg","ton",IF(C25="kl","kgal",IF(C25="m3","cy",IF(C25="m2","sy",IF(C25="m","lf",IF(C25="m3","cy",C25))))))</f>
        <v>each</v>
      </c>
      <c r="H25" s="85">
        <f>IF(C25="mg",E25*0.9071847,IF(C25="kl",E25*3.785412,IF(C25="m3",E25*0.7645549,IF(C25="M2",E25*0.8361274,IF(C25="m",E25*0.3048,E25)))))</f>
        <v>1.25</v>
      </c>
      <c r="J25" s="88"/>
    </row>
    <row r="26" spans="1:10" s="26" customFormat="1" ht="12.75">
      <c r="A26" s="81">
        <f t="shared" si="3"/>
        <v>9</v>
      </c>
      <c r="B26" s="74" t="s">
        <v>48</v>
      </c>
      <c r="C26" s="75" t="s">
        <v>42</v>
      </c>
      <c r="D26" s="76"/>
      <c r="E26" s="87">
        <v>0.2</v>
      </c>
      <c r="F26" s="83">
        <f t="shared" si="4"/>
        <v>0</v>
      </c>
      <c r="G26" s="84" t="str">
        <f>IF(C26="mg","ton",IF(C26="kl","kgal",IF(C26="m3","cy",IF(C26="m2","sy",IF(C26="m","lf",IF(C26="m3","cy",C26))))))</f>
        <v>foot</v>
      </c>
      <c r="H26" s="85">
        <f>IF(C26="mg",E26*0.9071847,IF(C26="kl",E26*3.785412,IF(C26="m3",E26*0.7645549,IF(C26="M2",E26*0.8361274,IF(C26="m",E26*0.3048,E26)))))</f>
        <v>0.2</v>
      </c>
      <c r="J26" s="88"/>
    </row>
    <row r="27" spans="1:10" s="26" customFormat="1" ht="12.75">
      <c r="A27" s="81">
        <f t="shared" si="3"/>
        <v>10</v>
      </c>
      <c r="B27" s="74" t="s">
        <v>49</v>
      </c>
      <c r="C27" s="75" t="s">
        <v>42</v>
      </c>
      <c r="D27" s="76"/>
      <c r="E27" s="87">
        <v>0.65</v>
      </c>
      <c r="F27" s="83">
        <f t="shared" si="4"/>
        <v>0</v>
      </c>
      <c r="G27" s="84" t="str">
        <f>IF(C27="mg","ton",IF(C27="kl","kgal",IF(C27="m3","cy",IF(C27="m2","sy",IF(C27="m","lf",IF(C27="m3","cy",C27))))))</f>
        <v>foot</v>
      </c>
      <c r="H27" s="85">
        <f>IF(C27="mg",E27*0.9071847,IF(C27="kl",E27*3.785412,IF(C27="m3",E27*0.7645549,IF(C27="M2",E27*0.8361274,IF(C27="m",E27*0.3048,E27)))))</f>
        <v>0.65</v>
      </c>
      <c r="I27" s="26" t="s">
        <v>256</v>
      </c>
      <c r="J27" s="88"/>
    </row>
    <row r="28" spans="1:10" s="26" customFormat="1" ht="12.75">
      <c r="A28" s="81">
        <f t="shared" si="3"/>
        <v>11</v>
      </c>
      <c r="B28" s="74" t="s">
        <v>50</v>
      </c>
      <c r="C28" s="75" t="s">
        <v>40</v>
      </c>
      <c r="D28" s="76">
        <v>1</v>
      </c>
      <c r="E28" s="87">
        <v>345</v>
      </c>
      <c r="F28" s="83">
        <f t="shared" si="4"/>
        <v>345</v>
      </c>
      <c r="G28" s="84" t="str">
        <f>IF(C28="mg","ton",IF(C28="kl","kgal",IF(C28="m3","cy",IF(C28="m2","sy",IF(C28="m","lf",IF(C28="m3","cy",C28))))))</f>
        <v>each</v>
      </c>
      <c r="H28" s="85">
        <f>IF(C28="mg",E28*0.9071847,IF(C28="kl",E28*3.785412,IF(C28="m3",E28*0.7645549,IF(C28="M2",E28*0.8361274,IF(C28="m",E28*0.3048,E28)))))</f>
        <v>345</v>
      </c>
      <c r="J28" s="88"/>
    </row>
    <row r="29" spans="1:10" s="26" customFormat="1" ht="12.75">
      <c r="A29" s="81">
        <f t="shared" si="3"/>
        <v>12</v>
      </c>
      <c r="B29" s="74" t="s">
        <v>51</v>
      </c>
      <c r="C29" s="75" t="s">
        <v>40</v>
      </c>
      <c r="D29" s="76"/>
      <c r="E29" s="87">
        <v>3155</v>
      </c>
      <c r="F29" s="83">
        <f t="shared" si="4"/>
        <v>0</v>
      </c>
      <c r="G29" s="84"/>
      <c r="H29" s="85"/>
      <c r="J29" s="88"/>
    </row>
    <row r="30" spans="1:10" s="26" customFormat="1" ht="12.75">
      <c r="A30" s="81">
        <f t="shared" si="3"/>
        <v>13</v>
      </c>
      <c r="B30" s="74" t="s">
        <v>52</v>
      </c>
      <c r="C30" s="75" t="s">
        <v>40</v>
      </c>
      <c r="D30" s="76"/>
      <c r="E30" s="87">
        <v>11400</v>
      </c>
      <c r="F30" s="83">
        <f t="shared" si="4"/>
        <v>0</v>
      </c>
      <c r="G30" s="84"/>
      <c r="H30" s="85"/>
      <c r="J30" s="88"/>
    </row>
    <row r="31" spans="1:10" s="26" customFormat="1" ht="12.75">
      <c r="A31" s="81">
        <f aca="true" t="shared" si="5" ref="A31:A37">A30+1</f>
        <v>14</v>
      </c>
      <c r="B31" s="74" t="s">
        <v>53</v>
      </c>
      <c r="C31" s="75" t="s">
        <v>54</v>
      </c>
      <c r="D31" s="76">
        <v>100</v>
      </c>
      <c r="E31" s="87">
        <v>33</v>
      </c>
      <c r="F31" s="83">
        <f t="shared" si="4"/>
        <v>3300</v>
      </c>
      <c r="G31" s="84" t="str">
        <f>IF(C31="mg","ton",IF(C31="kl","kgal",IF(C31="m3","cy",IF(C31="m2","sy",IF(C31="m","lf",IF(C31="m3","cy",C31))))))</f>
        <v>hour</v>
      </c>
      <c r="H31" s="85">
        <f>IF(C31="mg",E31*0.9071847,IF(C31="kl",E31*3.785412,IF(C31="m3",E31*0.7645549,IF(C31="M2",E31*0.8361274,IF(C31="m",E31*0.3048,E31)))))</f>
        <v>33</v>
      </c>
      <c r="J31" s="88"/>
    </row>
    <row r="32" spans="1:10" s="26" customFormat="1" ht="12.75">
      <c r="A32" s="81">
        <f t="shared" si="5"/>
        <v>15</v>
      </c>
      <c r="B32" s="74" t="s">
        <v>56</v>
      </c>
      <c r="C32" s="75" t="s">
        <v>42</v>
      </c>
      <c r="D32" s="76"/>
      <c r="E32" s="87">
        <v>20</v>
      </c>
      <c r="F32" s="83">
        <f t="shared" si="4"/>
        <v>0</v>
      </c>
      <c r="G32" s="84"/>
      <c r="H32" s="85"/>
      <c r="J32" s="88"/>
    </row>
    <row r="33" spans="1:10" s="26" customFormat="1" ht="12.75">
      <c r="A33" s="81">
        <f t="shared" si="5"/>
        <v>16</v>
      </c>
      <c r="B33" s="74" t="s">
        <v>57</v>
      </c>
      <c r="C33" s="75" t="s">
        <v>42</v>
      </c>
      <c r="D33" s="76"/>
      <c r="E33" s="87">
        <v>1.55</v>
      </c>
      <c r="F33" s="83">
        <f t="shared" si="4"/>
        <v>0</v>
      </c>
      <c r="G33" s="84"/>
      <c r="H33" s="85"/>
      <c r="J33" s="86"/>
    </row>
    <row r="34" spans="1:10" s="26" customFormat="1" ht="12.75">
      <c r="A34" s="81">
        <f t="shared" si="5"/>
        <v>17</v>
      </c>
      <c r="B34" s="74" t="s">
        <v>58</v>
      </c>
      <c r="C34" s="75" t="s">
        <v>35</v>
      </c>
      <c r="D34" s="76">
        <v>1</v>
      </c>
      <c r="E34" s="87">
        <v>500</v>
      </c>
      <c r="F34" s="83">
        <f t="shared" si="4"/>
        <v>500</v>
      </c>
      <c r="G34" s="84"/>
      <c r="H34" s="85"/>
      <c r="J34" s="88"/>
    </row>
    <row r="35" spans="1:10" s="26" customFormat="1" ht="12.75">
      <c r="A35" s="81">
        <f t="shared" si="5"/>
        <v>18</v>
      </c>
      <c r="B35" s="74" t="s">
        <v>59</v>
      </c>
      <c r="C35" s="75" t="s">
        <v>40</v>
      </c>
      <c r="D35" s="76">
        <v>2</v>
      </c>
      <c r="E35" s="87">
        <v>735</v>
      </c>
      <c r="F35" s="83">
        <f t="shared" si="4"/>
        <v>1470</v>
      </c>
      <c r="G35" s="84"/>
      <c r="H35" s="85"/>
      <c r="I35" s="26" t="s">
        <v>257</v>
      </c>
      <c r="J35" s="88"/>
    </row>
    <row r="36" spans="1:10" s="26" customFormat="1" ht="12.75">
      <c r="A36" s="81">
        <f t="shared" si="5"/>
        <v>19</v>
      </c>
      <c r="B36" s="74" t="s">
        <v>60</v>
      </c>
      <c r="C36" s="75" t="s">
        <v>40</v>
      </c>
      <c r="D36" s="76">
        <v>2</v>
      </c>
      <c r="E36" s="87">
        <v>85</v>
      </c>
      <c r="F36" s="83">
        <f t="shared" si="4"/>
        <v>170</v>
      </c>
      <c r="G36" s="84"/>
      <c r="H36" s="85"/>
      <c r="J36" s="89"/>
    </row>
    <row r="37" spans="1:10" s="26" customFormat="1" ht="12.75">
      <c r="A37" s="81">
        <f t="shared" si="5"/>
        <v>20</v>
      </c>
      <c r="B37" s="74" t="s">
        <v>61</v>
      </c>
      <c r="C37" s="75" t="s">
        <v>40</v>
      </c>
      <c r="D37" s="76"/>
      <c r="E37" s="87">
        <v>10.75</v>
      </c>
      <c r="F37" s="83">
        <f t="shared" si="4"/>
        <v>0</v>
      </c>
      <c r="G37" s="84" t="str">
        <f>IF(C37="mg","ton",IF(C37="kl","kgal",IF(C37="m3","cy",IF(C37="m2","sy",IF(C37="m","lf",IF(C37="m3","cy",C37))))))</f>
        <v>each</v>
      </c>
      <c r="H37" s="85">
        <f>IF(C37="mg",E37*0.9071847,IF(C37="kl",E37*3.785412,IF(C37="m3",E37*0.7645549,IF(C37="M2",E37*0.8361274,IF(C37="m",E37*0.3048,E37)))))</f>
        <v>10.75</v>
      </c>
      <c r="J37" s="88"/>
    </row>
    <row r="38" spans="1:10" s="26" customFormat="1" ht="12.75">
      <c r="A38" s="81">
        <f t="shared" si="3"/>
        <v>21</v>
      </c>
      <c r="B38" s="74" t="s">
        <v>62</v>
      </c>
      <c r="C38" s="75" t="s">
        <v>42</v>
      </c>
      <c r="D38" s="76"/>
      <c r="E38" s="87">
        <v>3.7</v>
      </c>
      <c r="F38" s="83">
        <f t="shared" si="4"/>
        <v>0</v>
      </c>
      <c r="G38" s="84" t="str">
        <f>IF(C38="mg","ton",IF(C38="kl","kgal",IF(C38="m3","cy",IF(C38="m2","sy",IF(C38="m","lf",IF(C38="m3","cy",C38))))))</f>
        <v>foot</v>
      </c>
      <c r="H38" s="85">
        <f>IF(C38="mg",E38*0.9071847,IF(C38="kl",E38*3.785412,IF(C38="m3",E38*0.7645549,IF(C38="M2",E38*0.8361274,IF(C38="m",E38*0.3048,E38)))))</f>
        <v>3.7</v>
      </c>
      <c r="J38" s="88"/>
    </row>
    <row r="39" spans="1:10" s="26" customFormat="1" ht="12.75">
      <c r="A39" s="81">
        <f t="shared" si="3"/>
        <v>22</v>
      </c>
      <c r="B39" s="74" t="s">
        <v>63</v>
      </c>
      <c r="C39" s="90" t="s">
        <v>42</v>
      </c>
      <c r="D39" s="76">
        <v>1720</v>
      </c>
      <c r="E39" s="87">
        <v>2.5</v>
      </c>
      <c r="F39" s="83">
        <f t="shared" si="4"/>
        <v>4300</v>
      </c>
      <c r="G39" s="84" t="str">
        <f>IF(C36="mg","ton",IF(C36="kl","kgal",IF(C36="m3","cy",IF(C36="m2","sy",IF(C36="m","lf",IF(C36="m3","cy",C36))))))</f>
        <v>each</v>
      </c>
      <c r="H39" s="85">
        <f>IF(C36="mg",E36*0.9071847,IF(C36="kl",E36*3.785412,IF(C36="m3",E36*0.7645549,IF(C36="M2",E36*0.8361274,IF(C36="m",E36*0.3048,E36)))))</f>
        <v>85</v>
      </c>
      <c r="I39" s="26" t="s">
        <v>258</v>
      </c>
      <c r="J39" s="88"/>
    </row>
    <row r="40" spans="1:10" s="26" customFormat="1" ht="12.75">
      <c r="A40" s="81">
        <f t="shared" si="3"/>
        <v>23</v>
      </c>
      <c r="B40" s="26" t="s">
        <v>64</v>
      </c>
      <c r="C40" s="90" t="s">
        <v>37</v>
      </c>
      <c r="D40" s="76"/>
      <c r="E40" s="87">
        <v>0.5</v>
      </c>
      <c r="F40" s="83">
        <f t="shared" si="4"/>
        <v>0</v>
      </c>
      <c r="G40" s="84" t="str">
        <f>IF(C35="mg","ton",IF(C35="kl","kgal",IF(C35="m3","cy",IF(C35="m2","sy",IF(C35="m","lf",IF(C35="m3","cy",C35))))))</f>
        <v>each</v>
      </c>
      <c r="H40" s="85">
        <f>IF(C35="mg",E35*0.9071847,IF(C35="kl",E35*3.785412,IF(C35="m3",E35*0.7645549,IF(C35="M2",E35*0.8361274,IF(C35="m",E35*0.3048,E35)))))</f>
        <v>735</v>
      </c>
      <c r="J40" s="88"/>
    </row>
    <row r="41" spans="1:10" s="26" customFormat="1" ht="12.75">
      <c r="A41" s="81">
        <f t="shared" si="3"/>
        <v>24</v>
      </c>
      <c r="B41" s="26" t="s">
        <v>65</v>
      </c>
      <c r="C41" s="90" t="s">
        <v>37</v>
      </c>
      <c r="D41" s="76"/>
      <c r="E41" s="87">
        <v>0.2</v>
      </c>
      <c r="F41" s="83">
        <f t="shared" si="4"/>
        <v>0</v>
      </c>
      <c r="G41" s="84" t="str">
        <f>IF(C32="mg","ton",IF(C32="kl","kgal",IF(C32="m3","cy",IF(C32="m2","sy",IF(C32="m","lf",IF(C32="m3","cy",C32))))))</f>
        <v>foot</v>
      </c>
      <c r="H41" s="85">
        <f>IF(C32="mg",E32*0.9071847,IF(C32="kl",E32*3.785412,IF(C32="m3",E32*0.7645549,IF(C32="M2",E32*0.8361274,IF(C32="m",E32*0.3048,E32)))))</f>
        <v>20</v>
      </c>
      <c r="J41" s="88"/>
    </row>
    <row r="42" spans="1:10" s="26" customFormat="1" ht="12.75">
      <c r="A42" s="81">
        <f t="shared" si="3"/>
        <v>25</v>
      </c>
      <c r="B42" s="74" t="s">
        <v>253</v>
      </c>
      <c r="C42" s="75" t="s">
        <v>35</v>
      </c>
      <c r="D42" s="76">
        <v>1</v>
      </c>
      <c r="E42" s="82">
        <f>ROUND((SUM(F$18:F$41)+SUM(F$43:F$187))*0.03,-2)</f>
        <v>19100</v>
      </c>
      <c r="F42" s="83">
        <f t="shared" si="4"/>
        <v>19100</v>
      </c>
      <c r="G42" s="84" t="str">
        <f>IF(C42="mg","ton",IF(C42="kl","kgal",IF(C42="m3","cy",IF(C42="m2","sy",IF(C42="m","lf",IF(C42="m3","cy",C42))))))</f>
        <v>ls</v>
      </c>
      <c r="H42" s="85">
        <f>IF(C42="mg",E42*0.9071847,IF(C42="kl",E42*3.785412,IF(C42="m3",E42*0.7645549,IF(C42="M2",E42*0.8361274,IF(C42="m",E42*0.3048,E42)))))</f>
        <v>19100</v>
      </c>
      <c r="J42" s="88"/>
    </row>
    <row r="43" spans="1:10" s="26" customFormat="1" ht="12.75">
      <c r="A43" s="81">
        <f t="shared" si="3"/>
        <v>26</v>
      </c>
      <c r="B43" s="74" t="s">
        <v>66</v>
      </c>
      <c r="C43" s="75" t="s">
        <v>42</v>
      </c>
      <c r="D43" s="76"/>
      <c r="E43" s="87">
        <v>3.05</v>
      </c>
      <c r="F43" s="83">
        <f t="shared" si="4"/>
        <v>0</v>
      </c>
      <c r="G43" s="84"/>
      <c r="H43" s="85"/>
      <c r="J43" s="88"/>
    </row>
    <row r="44" spans="1:10" s="26" customFormat="1" ht="12.75">
      <c r="A44" s="81">
        <f t="shared" si="3"/>
        <v>27</v>
      </c>
      <c r="B44" s="74" t="s">
        <v>67</v>
      </c>
      <c r="C44" s="75" t="s">
        <v>42</v>
      </c>
      <c r="D44" s="76">
        <v>450</v>
      </c>
      <c r="E44" s="87">
        <v>2.45</v>
      </c>
      <c r="F44" s="83">
        <f t="shared" si="4"/>
        <v>1102.5</v>
      </c>
      <c r="G44" s="84"/>
      <c r="H44" s="85"/>
      <c r="I44" s="26" t="s">
        <v>259</v>
      </c>
      <c r="J44" s="88"/>
    </row>
    <row r="45" spans="1:10" s="26" customFormat="1" ht="12.75">
      <c r="A45" s="81">
        <f t="shared" si="3"/>
        <v>28</v>
      </c>
      <c r="B45" s="74" t="s">
        <v>68</v>
      </c>
      <c r="C45" s="75" t="s">
        <v>40</v>
      </c>
      <c r="D45" s="76"/>
      <c r="E45" s="87">
        <v>219</v>
      </c>
      <c r="F45" s="83">
        <f t="shared" si="4"/>
        <v>0</v>
      </c>
      <c r="G45" s="84"/>
      <c r="H45" s="85"/>
      <c r="J45" s="88"/>
    </row>
    <row r="46" spans="1:10" s="26" customFormat="1" ht="12.75">
      <c r="A46" s="81">
        <f t="shared" si="3"/>
        <v>29</v>
      </c>
      <c r="B46" s="74" t="s">
        <v>69</v>
      </c>
      <c r="C46" s="75" t="s">
        <v>40</v>
      </c>
      <c r="D46" s="76"/>
      <c r="E46" s="87">
        <v>795</v>
      </c>
      <c r="F46" s="83">
        <f t="shared" si="4"/>
        <v>0</v>
      </c>
      <c r="G46" s="84"/>
      <c r="H46" s="85"/>
      <c r="J46" s="88"/>
    </row>
    <row r="47" spans="1:10" s="26" customFormat="1" ht="12.75">
      <c r="A47" s="81">
        <f t="shared" si="3"/>
        <v>30</v>
      </c>
      <c r="B47" s="74" t="s">
        <v>70</v>
      </c>
      <c r="C47" s="75" t="s">
        <v>42</v>
      </c>
      <c r="D47" s="76"/>
      <c r="E47" s="87">
        <v>10.35</v>
      </c>
      <c r="F47" s="83">
        <f t="shared" si="4"/>
        <v>0</v>
      </c>
      <c r="G47" s="84"/>
      <c r="H47" s="85"/>
      <c r="J47" s="88"/>
    </row>
    <row r="48" spans="1:10" s="26" customFormat="1" ht="12.75">
      <c r="A48" s="81">
        <f t="shared" si="3"/>
        <v>31</v>
      </c>
      <c r="B48" s="74" t="s">
        <v>71</v>
      </c>
      <c r="C48" s="75" t="s">
        <v>42</v>
      </c>
      <c r="D48" s="76"/>
      <c r="E48" s="87">
        <v>16.75</v>
      </c>
      <c r="F48" s="83">
        <f t="shared" si="4"/>
        <v>0</v>
      </c>
      <c r="G48" s="84"/>
      <c r="H48" s="85"/>
      <c r="J48" s="88"/>
    </row>
    <row r="49" spans="1:10" s="26" customFormat="1" ht="12.75">
      <c r="A49" s="81">
        <f t="shared" si="3"/>
        <v>32</v>
      </c>
      <c r="B49" s="74" t="s">
        <v>72</v>
      </c>
      <c r="C49" s="75" t="s">
        <v>73</v>
      </c>
      <c r="D49" s="76"/>
      <c r="E49" s="87">
        <v>3.4</v>
      </c>
      <c r="F49" s="83">
        <f t="shared" si="4"/>
        <v>0</v>
      </c>
      <c r="G49" s="84"/>
      <c r="H49" s="85"/>
      <c r="J49" s="88"/>
    </row>
    <row r="50" spans="1:10" s="26" customFormat="1" ht="12.75">
      <c r="A50" s="81">
        <f t="shared" si="3"/>
        <v>33</v>
      </c>
      <c r="B50" s="74" t="s">
        <v>74</v>
      </c>
      <c r="C50" s="75" t="s">
        <v>73</v>
      </c>
      <c r="D50" s="76"/>
      <c r="E50" s="87">
        <v>9.7</v>
      </c>
      <c r="F50" s="83">
        <f t="shared" si="4"/>
        <v>0</v>
      </c>
      <c r="G50" s="84"/>
      <c r="H50" s="85"/>
      <c r="J50" s="88"/>
    </row>
    <row r="51" spans="1:10" s="26" customFormat="1" ht="12.75">
      <c r="A51" s="81">
        <f t="shared" si="3"/>
        <v>34</v>
      </c>
      <c r="B51" s="74" t="s">
        <v>75</v>
      </c>
      <c r="C51" s="75" t="s">
        <v>73</v>
      </c>
      <c r="D51" s="76"/>
      <c r="E51" s="87">
        <v>7</v>
      </c>
      <c r="F51" s="83">
        <f t="shared" si="4"/>
        <v>0</v>
      </c>
      <c r="G51" s="84" t="str">
        <f>IF(C51="mg","ton",IF(C51="kl","kgal",IF(C51="m3","cy",IF(C51="m2","sy",IF(C51="m","lf",IF(C51="m3","cy",C51))))))</f>
        <v>sqyd</v>
      </c>
      <c r="H51" s="85">
        <f>IF(C51="mg",E51*0.9071847,IF(C51="kl",E51*3.785412,IF(C51="m3",E51*0.7645549,IF(C51="M2",E51*0.8361274,IF(C51="m",E51*0.3048,E51)))))</f>
        <v>7</v>
      </c>
      <c r="J51" s="88"/>
    </row>
    <row r="52" spans="1:10" s="26" customFormat="1" ht="12.75">
      <c r="A52" s="81">
        <f t="shared" si="3"/>
        <v>35</v>
      </c>
      <c r="B52" s="74" t="s">
        <v>76</v>
      </c>
      <c r="C52" s="75" t="s">
        <v>42</v>
      </c>
      <c r="D52" s="76">
        <v>300</v>
      </c>
      <c r="E52" s="87">
        <v>4.5</v>
      </c>
      <c r="F52" s="83">
        <f t="shared" si="4"/>
        <v>1350</v>
      </c>
      <c r="G52" s="84"/>
      <c r="H52" s="85"/>
      <c r="J52" s="88"/>
    </row>
    <row r="53" spans="1:10" s="26" customFormat="1" ht="12.75">
      <c r="A53" s="81">
        <f t="shared" si="3"/>
        <v>36</v>
      </c>
      <c r="B53" s="74" t="s">
        <v>77</v>
      </c>
      <c r="C53" s="75" t="s">
        <v>42</v>
      </c>
      <c r="D53" s="76"/>
      <c r="E53" s="87">
        <v>3.8</v>
      </c>
      <c r="F53" s="83">
        <f t="shared" si="4"/>
        <v>0</v>
      </c>
      <c r="G53" s="84"/>
      <c r="H53" s="85"/>
      <c r="J53" s="88"/>
    </row>
    <row r="54" spans="1:10" s="26" customFormat="1" ht="12.75">
      <c r="A54" s="81">
        <f t="shared" si="3"/>
        <v>37</v>
      </c>
      <c r="B54" s="26" t="s">
        <v>78</v>
      </c>
      <c r="C54" s="75" t="s">
        <v>35</v>
      </c>
      <c r="D54" s="76">
        <v>1</v>
      </c>
      <c r="E54" s="87">
        <v>1000</v>
      </c>
      <c r="F54" s="83">
        <f aca="true" t="shared" si="6" ref="F54:F60">D54*E54</f>
        <v>1000</v>
      </c>
      <c r="G54" s="84" t="str">
        <f aca="true" t="shared" si="7" ref="G54:G60">IF(C54="mg","ton",IF(C54="kl","kgal",IF(C54="m3","cy",IF(C54="m2","sy",IF(C54="m","lf",IF(C54="m3","cy",C54))))))</f>
        <v>ls</v>
      </c>
      <c r="H54" s="85">
        <f aca="true" t="shared" si="8" ref="H54:H60">IF(C54="mg",E54*0.9071847,IF(C54="kl",E54*3.785412,IF(C54="m3",E54*0.7645549,IF(C54="M2",E54*0.8361274,IF(C54="m",E54*0.3048,E54)))))</f>
        <v>1000</v>
      </c>
      <c r="J54" s="88"/>
    </row>
    <row r="55" spans="1:10" s="26" customFormat="1" ht="12.75">
      <c r="A55" s="81">
        <f t="shared" si="3"/>
        <v>38</v>
      </c>
      <c r="B55" s="26" t="s">
        <v>79</v>
      </c>
      <c r="C55" s="75" t="s">
        <v>80</v>
      </c>
      <c r="D55" s="91"/>
      <c r="E55" s="83">
        <v>8</v>
      </c>
      <c r="F55" s="83">
        <f t="shared" si="6"/>
        <v>0</v>
      </c>
      <c r="G55" s="84" t="str">
        <f t="shared" si="7"/>
        <v>cuyd</v>
      </c>
      <c r="H55" s="85">
        <f t="shared" si="8"/>
        <v>8</v>
      </c>
      <c r="J55" s="89"/>
    </row>
    <row r="56" spans="1:10" s="26" customFormat="1" ht="12.75">
      <c r="A56" s="81">
        <f t="shared" si="3"/>
        <v>39</v>
      </c>
      <c r="B56" s="26" t="s">
        <v>81</v>
      </c>
      <c r="C56" s="75" t="s">
        <v>80</v>
      </c>
      <c r="D56" s="76">
        <v>1200</v>
      </c>
      <c r="E56" s="87">
        <v>13.75</v>
      </c>
      <c r="F56" s="83">
        <f t="shared" si="6"/>
        <v>16500</v>
      </c>
      <c r="G56" s="84" t="str">
        <f t="shared" si="7"/>
        <v>cuyd</v>
      </c>
      <c r="H56" s="85">
        <f t="shared" si="8"/>
        <v>13.75</v>
      </c>
      <c r="J56" s="89"/>
    </row>
    <row r="57" spans="1:10" s="26" customFormat="1" ht="12.75">
      <c r="A57" s="81">
        <f t="shared" si="3"/>
        <v>40</v>
      </c>
      <c r="B57" s="26" t="s">
        <v>82</v>
      </c>
      <c r="C57" s="75" t="s">
        <v>80</v>
      </c>
      <c r="D57" s="76">
        <v>1700</v>
      </c>
      <c r="E57" s="87">
        <v>2</v>
      </c>
      <c r="F57" s="83">
        <f t="shared" si="6"/>
        <v>3400</v>
      </c>
      <c r="G57" s="84" t="str">
        <f t="shared" si="7"/>
        <v>cuyd</v>
      </c>
      <c r="H57" s="85">
        <f t="shared" si="8"/>
        <v>2</v>
      </c>
      <c r="I57" s="26" t="s">
        <v>83</v>
      </c>
      <c r="J57" s="89"/>
    </row>
    <row r="58" spans="1:10" s="26" customFormat="1" ht="12.75">
      <c r="A58" s="81">
        <f t="shared" si="3"/>
        <v>41</v>
      </c>
      <c r="B58" s="26" t="s">
        <v>84</v>
      </c>
      <c r="C58" s="75" t="s">
        <v>80</v>
      </c>
      <c r="D58" s="76">
        <v>10344</v>
      </c>
      <c r="E58" s="87">
        <v>13</v>
      </c>
      <c r="F58" s="83">
        <f t="shared" si="6"/>
        <v>134472</v>
      </c>
      <c r="G58" s="84" t="str">
        <f t="shared" si="7"/>
        <v>cuyd</v>
      </c>
      <c r="H58" s="85">
        <f t="shared" si="8"/>
        <v>13</v>
      </c>
      <c r="I58" s="26" t="s">
        <v>83</v>
      </c>
      <c r="J58" s="89"/>
    </row>
    <row r="59" spans="1:10" s="26" customFormat="1" ht="12.75">
      <c r="A59" s="81">
        <f t="shared" si="3"/>
        <v>42</v>
      </c>
      <c r="B59" s="74" t="s">
        <v>85</v>
      </c>
      <c r="C59" s="75" t="s">
        <v>40</v>
      </c>
      <c r="D59" s="76">
        <v>3</v>
      </c>
      <c r="E59" s="87">
        <v>400</v>
      </c>
      <c r="F59" s="83">
        <f t="shared" si="6"/>
        <v>1200</v>
      </c>
      <c r="G59" s="84" t="str">
        <f t="shared" si="7"/>
        <v>each</v>
      </c>
      <c r="H59" s="85">
        <f t="shared" si="8"/>
        <v>400</v>
      </c>
      <c r="J59" s="88"/>
    </row>
    <row r="60" spans="1:10" s="26" customFormat="1" ht="12.75">
      <c r="A60" s="81">
        <f t="shared" si="3"/>
        <v>43</v>
      </c>
      <c r="B60" s="74" t="s">
        <v>86</v>
      </c>
      <c r="C60" s="75" t="s">
        <v>73</v>
      </c>
      <c r="D60" s="76">
        <v>440</v>
      </c>
      <c r="E60" s="87">
        <v>10.5</v>
      </c>
      <c r="F60" s="83">
        <f t="shared" si="6"/>
        <v>4620</v>
      </c>
      <c r="G60" s="84" t="str">
        <f t="shared" si="7"/>
        <v>sqyd</v>
      </c>
      <c r="H60" s="85">
        <f t="shared" si="8"/>
        <v>10.5</v>
      </c>
      <c r="I60" s="92" t="s">
        <v>260</v>
      </c>
      <c r="J60" s="88"/>
    </row>
    <row r="61" spans="1:10" s="26" customFormat="1" ht="12.75">
      <c r="A61" s="81">
        <f t="shared" si="3"/>
        <v>44</v>
      </c>
      <c r="B61" s="74" t="s">
        <v>88</v>
      </c>
      <c r="C61" s="75" t="s">
        <v>73</v>
      </c>
      <c r="D61" s="76"/>
      <c r="E61" s="87">
        <v>24.9</v>
      </c>
      <c r="F61" s="83">
        <f aca="true" t="shared" si="9" ref="F61:F70">D61*E61</f>
        <v>0</v>
      </c>
      <c r="G61" s="84"/>
      <c r="H61" s="85"/>
      <c r="J61" s="88"/>
    </row>
    <row r="62" spans="1:10" s="26" customFormat="1" ht="12.75">
      <c r="A62" s="81">
        <f t="shared" si="3"/>
        <v>45</v>
      </c>
      <c r="B62" s="74" t="s">
        <v>89</v>
      </c>
      <c r="C62" s="75" t="s">
        <v>73</v>
      </c>
      <c r="D62" s="76"/>
      <c r="E62" s="87">
        <v>12.5</v>
      </c>
      <c r="F62" s="83">
        <f t="shared" si="9"/>
        <v>0</v>
      </c>
      <c r="G62" s="84"/>
      <c r="H62" s="85"/>
      <c r="J62" s="89"/>
    </row>
    <row r="63" spans="1:10" s="26" customFormat="1" ht="12.75">
      <c r="A63" s="81">
        <f t="shared" si="3"/>
        <v>46</v>
      </c>
      <c r="B63" s="74" t="s">
        <v>90</v>
      </c>
      <c r="C63" s="75" t="s">
        <v>91</v>
      </c>
      <c r="D63" s="76"/>
      <c r="E63" s="87">
        <v>26.5</v>
      </c>
      <c r="F63" s="83">
        <f t="shared" si="9"/>
        <v>0</v>
      </c>
      <c r="G63" s="84" t="str">
        <f>IF(C63="mg","ton",IF(C63="kl","kgal",IF(C63="m3","cy",IF(C63="m2","sy",IF(C63="m","lf",IF(C63="m3","cy",C63))))))</f>
        <v>mgal</v>
      </c>
      <c r="H63" s="85">
        <f>IF(C63="mg",E63*0.9071847,IF(C63="kl",E63*3.785412,IF(C63="m3",E63*0.7645549,IF(C63="M2",E63*0.8361274,IF(C63="m",E63*0.3048,E63)))))</f>
        <v>26.5</v>
      </c>
      <c r="J63" s="89"/>
    </row>
    <row r="64" spans="1:10" s="26" customFormat="1" ht="12.75">
      <c r="A64" s="81">
        <f t="shared" si="3"/>
        <v>47</v>
      </c>
      <c r="B64" s="74" t="s">
        <v>92</v>
      </c>
      <c r="C64" s="75" t="s">
        <v>73</v>
      </c>
      <c r="D64" s="76"/>
      <c r="E64" s="87">
        <v>1.8</v>
      </c>
      <c r="F64" s="83">
        <f t="shared" si="9"/>
        <v>0</v>
      </c>
      <c r="G64" s="84"/>
      <c r="H64" s="85"/>
      <c r="J64" s="89"/>
    </row>
    <row r="65" spans="1:10" s="26" customFormat="1" ht="12.75">
      <c r="A65" s="81">
        <f t="shared" si="3"/>
        <v>48</v>
      </c>
      <c r="B65" s="74" t="s">
        <v>93</v>
      </c>
      <c r="C65" s="75" t="s">
        <v>73</v>
      </c>
      <c r="D65" s="76"/>
      <c r="E65" s="87">
        <v>1</v>
      </c>
      <c r="F65" s="83">
        <f t="shared" si="9"/>
        <v>0</v>
      </c>
      <c r="G65" s="84"/>
      <c r="H65" s="85"/>
      <c r="J65" s="89"/>
    </row>
    <row r="66" spans="1:10" s="26" customFormat="1" ht="12.75">
      <c r="A66" s="81">
        <f t="shared" si="3"/>
        <v>49</v>
      </c>
      <c r="B66" s="74" t="s">
        <v>94</v>
      </c>
      <c r="C66" s="75" t="s">
        <v>73</v>
      </c>
      <c r="D66" s="76">
        <v>4586</v>
      </c>
      <c r="E66" s="87">
        <v>1.1</v>
      </c>
      <c r="F66" s="83">
        <f t="shared" si="9"/>
        <v>5044.6</v>
      </c>
      <c r="G66" s="84" t="str">
        <f>IF(C66="mg","ton",IF(C66="kl","kgal",IF(C66="m3","cy",IF(C66="m2","sy",IF(C66="m","lf",IF(C66="m3","cy",C66))))))</f>
        <v>sqyd</v>
      </c>
      <c r="H66" s="85">
        <f>IF(C66="mg",E66*0.9071847,IF(C66="kl",E66*3.785412,IF(C66="m3",E66*0.7645549,IF(C66="M2",E66*0.8361274,IF(C66="m",E66*0.3048,E66)))))</f>
        <v>1.1</v>
      </c>
      <c r="J66" s="89"/>
    </row>
    <row r="67" spans="1:10" s="26" customFormat="1" ht="12.75">
      <c r="A67" s="81">
        <f t="shared" si="3"/>
        <v>50</v>
      </c>
      <c r="B67" s="74" t="s">
        <v>95</v>
      </c>
      <c r="C67" s="75" t="s">
        <v>96</v>
      </c>
      <c r="D67" s="76"/>
      <c r="E67" s="87">
        <v>36</v>
      </c>
      <c r="F67" s="83">
        <f t="shared" si="9"/>
        <v>0</v>
      </c>
      <c r="G67" s="84" t="str">
        <f>IF(C67="mg","ton",IF(C67="kl","kgal",IF(C67="m3","cy",IF(C67="m2","sy",IF(C67="m","lf",IF(C67="m3","cy",C67))))))</f>
        <v>ton</v>
      </c>
      <c r="H67" s="85">
        <f>IF(C67="mg",E67*0.9071847,IF(C67="kl",E67*3.785412,IF(C67="m3",E67*0.7645549,IF(C67="M2",E67*0.8361274,IF(C67="m",E67*0.3048,E67)))))</f>
        <v>36</v>
      </c>
      <c r="J67" s="89"/>
    </row>
    <row r="68" spans="1:10" s="26" customFormat="1" ht="12.75">
      <c r="A68" s="81">
        <f t="shared" si="3"/>
        <v>51</v>
      </c>
      <c r="B68" s="26" t="s">
        <v>97</v>
      </c>
      <c r="C68" s="75" t="s">
        <v>73</v>
      </c>
      <c r="D68" s="76"/>
      <c r="E68" s="87">
        <v>27.35</v>
      </c>
      <c r="F68" s="83">
        <f t="shared" si="9"/>
        <v>0</v>
      </c>
      <c r="G68" s="84"/>
      <c r="H68" s="85"/>
      <c r="J68" s="89"/>
    </row>
    <row r="69" spans="1:10" s="26" customFormat="1" ht="12.75">
      <c r="A69" s="81">
        <f t="shared" si="3"/>
        <v>52</v>
      </c>
      <c r="B69" s="26" t="s">
        <v>98</v>
      </c>
      <c r="C69" s="75" t="s">
        <v>80</v>
      </c>
      <c r="D69" s="76"/>
      <c r="E69" s="87">
        <v>77</v>
      </c>
      <c r="F69" s="83">
        <f t="shared" si="9"/>
        <v>0</v>
      </c>
      <c r="G69" s="84"/>
      <c r="H69" s="85"/>
      <c r="J69" s="89"/>
    </row>
    <row r="70" spans="1:10" s="26" customFormat="1" ht="12.75">
      <c r="A70" s="81">
        <f t="shared" si="3"/>
        <v>53</v>
      </c>
      <c r="B70" s="26" t="s">
        <v>99</v>
      </c>
      <c r="C70" s="75" t="s">
        <v>80</v>
      </c>
      <c r="D70" s="76">
        <v>85</v>
      </c>
      <c r="E70" s="87">
        <v>80</v>
      </c>
      <c r="F70" s="83">
        <f t="shared" si="9"/>
        <v>6800</v>
      </c>
      <c r="G70" s="84" t="str">
        <f>IF(C70="mg","ton",IF(C70="kl","kgal",IF(C70="m3","cy",IF(C70="m2","sy",IF(C70="m","lf",IF(C70="m3","cy",C70))))))</f>
        <v>cuyd</v>
      </c>
      <c r="H70" s="85">
        <f>IF(C70="mg",E70*0.9071847,IF(C70="kl",E70*3.785412,IF(C70="m3",E70*0.7645549,IF(C70="M2",E70*0.8361274,IF(C70="m",E70*0.3048,E70)))))</f>
        <v>80</v>
      </c>
      <c r="I70" s="92" t="s">
        <v>100</v>
      </c>
      <c r="J70" s="89"/>
    </row>
    <row r="71" spans="1:10" s="26" customFormat="1" ht="12.75">
      <c r="A71" s="81">
        <f t="shared" si="3"/>
        <v>54</v>
      </c>
      <c r="B71" s="26" t="s">
        <v>101</v>
      </c>
      <c r="C71" s="90" t="s">
        <v>42</v>
      </c>
      <c r="D71" s="76"/>
      <c r="E71" s="87">
        <v>10.5</v>
      </c>
      <c r="F71" s="83">
        <f aca="true" t="shared" si="10" ref="F71:F97">D71*E71</f>
        <v>0</v>
      </c>
      <c r="G71" s="84" t="str">
        <f>IF(C68="mg","ton",IF(C68="kl","kgal",IF(C68="m3","cy",IF(C68="m2","sy",IF(C68="m","lf",IF(C68="m3","cy",C68))))))</f>
        <v>sqyd</v>
      </c>
      <c r="H71" s="85">
        <f>IF(C68="mg",E68*0.9071847,IF(C68="kl",E68*3.785412,IF(C68="m3",E68*0.7645549,IF(C68="M2",E68*0.8361274,IF(C68="m",E68*0.3048,E68)))))</f>
        <v>27.35</v>
      </c>
      <c r="J71" s="88"/>
    </row>
    <row r="72" spans="1:10" s="26" customFormat="1" ht="12.75">
      <c r="A72" s="81">
        <f t="shared" si="3"/>
        <v>55</v>
      </c>
      <c r="B72" s="26" t="s">
        <v>102</v>
      </c>
      <c r="C72" s="90" t="s">
        <v>42</v>
      </c>
      <c r="D72" s="76"/>
      <c r="E72" s="87">
        <v>39</v>
      </c>
      <c r="F72" s="83">
        <f t="shared" si="10"/>
        <v>0</v>
      </c>
      <c r="G72" s="84"/>
      <c r="H72" s="85"/>
      <c r="J72" s="88"/>
    </row>
    <row r="73" spans="1:10" s="26" customFormat="1" ht="12.75">
      <c r="A73" s="81">
        <f t="shared" si="3"/>
        <v>56</v>
      </c>
      <c r="B73" s="26" t="s">
        <v>103</v>
      </c>
      <c r="C73" s="90" t="s">
        <v>42</v>
      </c>
      <c r="D73" s="76"/>
      <c r="E73" s="87">
        <v>61</v>
      </c>
      <c r="F73" s="83">
        <f t="shared" si="10"/>
        <v>0</v>
      </c>
      <c r="G73" s="84"/>
      <c r="H73" s="85"/>
      <c r="J73" s="88"/>
    </row>
    <row r="74" spans="1:10" s="26" customFormat="1" ht="12.75">
      <c r="A74" s="81">
        <f t="shared" si="3"/>
        <v>57</v>
      </c>
      <c r="B74" s="26" t="s">
        <v>104</v>
      </c>
      <c r="C74" s="90" t="s">
        <v>42</v>
      </c>
      <c r="D74" s="76"/>
      <c r="E74" s="87">
        <v>73</v>
      </c>
      <c r="F74" s="83">
        <f t="shared" si="10"/>
        <v>0</v>
      </c>
      <c r="G74" s="84"/>
      <c r="H74" s="85"/>
      <c r="J74" s="89"/>
    </row>
    <row r="75" spans="1:10" s="26" customFormat="1" ht="12.75">
      <c r="A75" s="81">
        <f t="shared" si="3"/>
        <v>58</v>
      </c>
      <c r="B75" s="26" t="s">
        <v>105</v>
      </c>
      <c r="C75" s="90" t="s">
        <v>42</v>
      </c>
      <c r="D75" s="76"/>
      <c r="E75" s="83">
        <v>27</v>
      </c>
      <c r="F75" s="83">
        <f t="shared" si="10"/>
        <v>0</v>
      </c>
      <c r="G75" s="84"/>
      <c r="H75" s="85"/>
      <c r="J75" s="88"/>
    </row>
    <row r="76" spans="1:10" s="26" customFormat="1" ht="12.75">
      <c r="A76" s="81">
        <f t="shared" si="3"/>
        <v>59</v>
      </c>
      <c r="B76" s="26" t="s">
        <v>106</v>
      </c>
      <c r="C76" s="90" t="s">
        <v>42</v>
      </c>
      <c r="D76" s="76"/>
      <c r="E76" s="83">
        <v>29.9</v>
      </c>
      <c r="F76" s="83">
        <f t="shared" si="10"/>
        <v>0</v>
      </c>
      <c r="G76" s="84"/>
      <c r="H76" s="85"/>
      <c r="J76" s="88"/>
    </row>
    <row r="77" spans="1:10" s="26" customFormat="1" ht="12.75">
      <c r="A77" s="81">
        <f t="shared" si="3"/>
        <v>60</v>
      </c>
      <c r="B77" s="26" t="s">
        <v>107</v>
      </c>
      <c r="C77" s="90" t="s">
        <v>42</v>
      </c>
      <c r="D77" s="76">
        <v>230</v>
      </c>
      <c r="E77" s="93">
        <v>31.4</v>
      </c>
      <c r="F77" s="83">
        <f t="shared" si="10"/>
        <v>7222</v>
      </c>
      <c r="G77" s="84"/>
      <c r="H77" s="85"/>
      <c r="J77" s="88"/>
    </row>
    <row r="78" spans="1:8" s="26" customFormat="1" ht="12.75">
      <c r="A78" s="81">
        <f t="shared" si="3"/>
        <v>61</v>
      </c>
      <c r="B78" s="26" t="s">
        <v>108</v>
      </c>
      <c r="C78" s="90" t="s">
        <v>42</v>
      </c>
      <c r="D78" s="76"/>
      <c r="E78" s="83">
        <v>32.9</v>
      </c>
      <c r="F78" s="83">
        <f t="shared" si="10"/>
        <v>0</v>
      </c>
      <c r="G78" s="84"/>
      <c r="H78" s="85"/>
    </row>
    <row r="79" spans="1:9" s="26" customFormat="1" ht="12.75">
      <c r="A79" s="81">
        <f t="shared" si="3"/>
        <v>62</v>
      </c>
      <c r="B79" s="26" t="s">
        <v>109</v>
      </c>
      <c r="C79" s="90" t="s">
        <v>42</v>
      </c>
      <c r="D79" s="76"/>
      <c r="E79" s="93">
        <v>37.9</v>
      </c>
      <c r="F79" s="83">
        <f t="shared" si="10"/>
        <v>0</v>
      </c>
      <c r="G79" s="84"/>
      <c r="H79" s="85"/>
      <c r="I79" s="26" t="s">
        <v>110</v>
      </c>
    </row>
    <row r="80" spans="1:8" s="26" customFormat="1" ht="12.75">
      <c r="A80" s="81">
        <f t="shared" si="3"/>
        <v>63</v>
      </c>
      <c r="B80" s="26" t="s">
        <v>111</v>
      </c>
      <c r="C80" s="90" t="s">
        <v>42</v>
      </c>
      <c r="D80" s="76"/>
      <c r="E80" s="83">
        <v>30.9</v>
      </c>
      <c r="F80" s="83">
        <f t="shared" si="10"/>
        <v>0</v>
      </c>
      <c r="G80" s="84"/>
      <c r="H80" s="85"/>
    </row>
    <row r="81" spans="1:8" s="26" customFormat="1" ht="12.75">
      <c r="A81" s="81">
        <f t="shared" si="3"/>
        <v>64</v>
      </c>
      <c r="B81" s="26" t="s">
        <v>112</v>
      </c>
      <c r="C81" s="90" t="s">
        <v>42</v>
      </c>
      <c r="D81" s="76"/>
      <c r="E81" s="83">
        <v>35.9</v>
      </c>
      <c r="F81" s="83">
        <f t="shared" si="10"/>
        <v>0</v>
      </c>
      <c r="G81" s="84"/>
      <c r="H81" s="85"/>
    </row>
    <row r="82" spans="1:8" s="26" customFormat="1" ht="12.75">
      <c r="A82" s="81">
        <f t="shared" si="3"/>
        <v>65</v>
      </c>
      <c r="B82" s="26" t="s">
        <v>113</v>
      </c>
      <c r="C82" s="90" t="s">
        <v>42</v>
      </c>
      <c r="D82" s="76"/>
      <c r="E82" s="83">
        <v>42.15</v>
      </c>
      <c r="F82" s="83">
        <f t="shared" si="10"/>
        <v>0</v>
      </c>
      <c r="G82" s="84"/>
      <c r="H82" s="85"/>
    </row>
    <row r="83" spans="1:8" s="26" customFormat="1" ht="12.75">
      <c r="A83" s="81">
        <f t="shared" si="3"/>
        <v>66</v>
      </c>
      <c r="B83" s="26" t="s">
        <v>114</v>
      </c>
      <c r="C83" s="90" t="s">
        <v>42</v>
      </c>
      <c r="D83" s="76"/>
      <c r="E83" s="83">
        <v>47.15</v>
      </c>
      <c r="F83" s="83">
        <f t="shared" si="10"/>
        <v>0</v>
      </c>
      <c r="G83" s="84"/>
      <c r="H83" s="85"/>
    </row>
    <row r="84" spans="1:8" s="26" customFormat="1" ht="12.75">
      <c r="A84" s="81">
        <f t="shared" si="3"/>
        <v>67</v>
      </c>
      <c r="B84" s="74" t="s">
        <v>115</v>
      </c>
      <c r="C84" s="75" t="s">
        <v>40</v>
      </c>
      <c r="D84" s="76"/>
      <c r="E84" s="83">
        <v>450</v>
      </c>
      <c r="F84" s="83">
        <f t="shared" si="10"/>
        <v>0</v>
      </c>
      <c r="G84" s="84"/>
      <c r="H84" s="85"/>
    </row>
    <row r="85" spans="1:8" s="26" customFormat="1" ht="12.75">
      <c r="A85" s="81">
        <f t="shared" si="3"/>
        <v>68</v>
      </c>
      <c r="B85" s="74" t="s">
        <v>116</v>
      </c>
      <c r="C85" s="75" t="s">
        <v>42</v>
      </c>
      <c r="D85" s="76"/>
      <c r="E85" s="83">
        <v>1.25</v>
      </c>
      <c r="F85" s="83">
        <f t="shared" si="10"/>
        <v>0</v>
      </c>
      <c r="G85" s="84"/>
      <c r="H85" s="85"/>
    </row>
    <row r="86" spans="1:8" s="26" customFormat="1" ht="12.75">
      <c r="A86" s="81">
        <f t="shared" si="3"/>
        <v>69</v>
      </c>
      <c r="B86" s="79" t="s">
        <v>117</v>
      </c>
      <c r="C86" s="75" t="s">
        <v>40</v>
      </c>
      <c r="D86" s="76"/>
      <c r="E86" s="83">
        <v>100000</v>
      </c>
      <c r="F86" s="83">
        <f t="shared" si="10"/>
        <v>0</v>
      </c>
      <c r="G86" s="84" t="str">
        <f>IF(C109="mg","ton",IF(C109="kl","kgal",IF(C109="m3","cy",IF(C109="m2","sy",IF(C109="m","lf",IF(C109="m3","cy",C109))))))</f>
        <v>sqft</v>
      </c>
      <c r="H86" s="85">
        <f>IF(C109="mg",E109*0.9071847,IF(C109="kl",E109*3.785412,IF(C109="m3",E109*0.7645549,IF(C109="M2",E109*0.8361274,IF(C109="m",E109*0.3048,E109)))))</f>
        <v>35</v>
      </c>
    </row>
    <row r="87" spans="1:8" s="26" customFormat="1" ht="12.75">
      <c r="A87" s="81">
        <f t="shared" si="3"/>
        <v>70</v>
      </c>
      <c r="B87" s="79" t="s">
        <v>118</v>
      </c>
      <c r="C87" s="75" t="s">
        <v>40</v>
      </c>
      <c r="D87" s="76"/>
      <c r="E87" s="83">
        <v>50000</v>
      </c>
      <c r="F87" s="83">
        <f t="shared" si="10"/>
        <v>0</v>
      </c>
      <c r="G87" s="84"/>
      <c r="H87" s="85"/>
    </row>
    <row r="88" spans="1:8" s="26" customFormat="1" ht="12.75">
      <c r="A88" s="81">
        <f t="shared" si="3"/>
        <v>71</v>
      </c>
      <c r="B88" s="26" t="s">
        <v>119</v>
      </c>
      <c r="C88" s="90" t="s">
        <v>40</v>
      </c>
      <c r="D88" s="76"/>
      <c r="E88" s="87">
        <v>3000</v>
      </c>
      <c r="F88" s="83">
        <f t="shared" si="10"/>
        <v>0</v>
      </c>
      <c r="G88" s="84" t="str">
        <f>IF(C113="mg","ton",IF(C113="kl","kgal",IF(C113="m3","cy",IF(C113="m2","sy",IF(C113="m","lf",IF(C113="m3","cy",C113))))))</f>
        <v>sqft</v>
      </c>
      <c r="H88" s="85">
        <f>IF(C113="mg",E113*0.9071847,IF(C113="kl",E113*3.785412,IF(C113="m3",E113*0.7645549,IF(C113="M2",E113*0.8361274,IF(C113="m",E113*0.3048,E113)))))</f>
        <v>28.15</v>
      </c>
    </row>
    <row r="89" spans="1:9" s="26" customFormat="1" ht="12.75">
      <c r="A89" s="81">
        <f t="shared" si="3"/>
        <v>72</v>
      </c>
      <c r="B89" s="26" t="s">
        <v>120</v>
      </c>
      <c r="C89" s="90" t="s">
        <v>40</v>
      </c>
      <c r="D89" s="76"/>
      <c r="E89" s="96">
        <v>2355</v>
      </c>
      <c r="F89" s="83">
        <f t="shared" si="10"/>
        <v>0</v>
      </c>
      <c r="G89" s="84" t="e">
        <f>IF(#REF!="mg","ton",IF(#REF!="kl","kgal",IF(#REF!="m3","cy",IF(#REF!="m2","sy",IF(#REF!="m","lf",IF(#REF!="m3","cy",#REF!))))))</f>
        <v>#REF!</v>
      </c>
      <c r="H89" s="85" t="e">
        <f>IF(#REF!="mg",#REF!*0.9071847,IF(#REF!="kl",#REF!*3.785412,IF(#REF!="m3",#REF!*0.7645549,IF(#REF!="M2",#REF!*0.8361274,IF(#REF!="m",#REF!*0.3048,#REF!)))))</f>
        <v>#REF!</v>
      </c>
      <c r="I89" s="26" t="s">
        <v>110</v>
      </c>
    </row>
    <row r="90" spans="1:9" s="26" customFormat="1" ht="12.75">
      <c r="A90" s="81">
        <f t="shared" si="3"/>
        <v>73</v>
      </c>
      <c r="B90" s="26" t="s">
        <v>121</v>
      </c>
      <c r="C90" s="90" t="s">
        <v>40</v>
      </c>
      <c r="D90" s="76"/>
      <c r="E90" s="87">
        <v>6165</v>
      </c>
      <c r="F90" s="83">
        <f t="shared" si="10"/>
        <v>0</v>
      </c>
      <c r="G90" s="84" t="e">
        <f>IF(#REF!="mg","ton",IF(#REF!="kl","kgal",IF(#REF!="m3","cy",IF(#REF!="m2","sy",IF(#REF!="m","lf",IF(#REF!="m3","cy",#REF!))))))</f>
        <v>#REF!</v>
      </c>
      <c r="H90" s="85" t="e">
        <f>IF(#REF!="mg",#REF!*0.9071847,IF(#REF!="kl",#REF!*3.785412,IF(#REF!="m3",#REF!*0.7645549,IF(#REF!="M2",#REF!*0.8361274,IF(#REF!="m",#REF!*0.3048,#REF!)))))</f>
        <v>#REF!</v>
      </c>
      <c r="I90" s="26" t="s">
        <v>110</v>
      </c>
    </row>
    <row r="91" spans="1:8" s="26" customFormat="1" ht="12.75">
      <c r="A91" s="81">
        <f t="shared" si="3"/>
        <v>74</v>
      </c>
      <c r="B91" s="74" t="s">
        <v>122</v>
      </c>
      <c r="C91" s="75" t="s">
        <v>40</v>
      </c>
      <c r="D91" s="76"/>
      <c r="E91" s="87">
        <v>1100</v>
      </c>
      <c r="F91" s="83">
        <f t="shared" si="10"/>
        <v>0</v>
      </c>
      <c r="G91" s="84"/>
      <c r="H91" s="85"/>
    </row>
    <row r="92" spans="1:8" s="26" customFormat="1" ht="12.75">
      <c r="A92" s="81">
        <f t="shared" si="3"/>
        <v>75</v>
      </c>
      <c r="B92" s="74" t="s">
        <v>123</v>
      </c>
      <c r="C92" s="75" t="s">
        <v>40</v>
      </c>
      <c r="D92" s="76"/>
      <c r="E92" s="87">
        <v>1188</v>
      </c>
      <c r="F92" s="83">
        <f t="shared" si="10"/>
        <v>0</v>
      </c>
      <c r="G92" s="84"/>
      <c r="H92" s="85"/>
    </row>
    <row r="93" spans="1:8" s="26" customFormat="1" ht="12.75">
      <c r="A93" s="81">
        <f t="shared" si="3"/>
        <v>76</v>
      </c>
      <c r="B93" s="74" t="s">
        <v>124</v>
      </c>
      <c r="C93" s="75" t="s">
        <v>40</v>
      </c>
      <c r="D93" s="76"/>
      <c r="E93" s="87">
        <v>1140</v>
      </c>
      <c r="F93" s="83">
        <f t="shared" si="10"/>
        <v>0</v>
      </c>
      <c r="G93" s="84" t="str">
        <f>IF(C86="mg","ton",IF(C86="kl","kgal",IF(C86="m3","cy",IF(C86="m2","sy",IF(C86="m","lf",IF(C86="m3","cy",C86))))))</f>
        <v>each</v>
      </c>
      <c r="H93" s="85">
        <f>IF(C86="mg",E86*0.9071847,IF(C86="kl",E86*3.785412,IF(C86="m3",E86*0.7645549,IF(C86="M2",E86*0.8361274,IF(C86="m",E86*0.3048,E86)))))</f>
        <v>100000</v>
      </c>
    </row>
    <row r="94" spans="1:8" s="26" customFormat="1" ht="12.75">
      <c r="A94" s="81">
        <f t="shared" si="3"/>
        <v>77</v>
      </c>
      <c r="B94" s="74" t="s">
        <v>125</v>
      </c>
      <c r="C94" s="75" t="s">
        <v>40</v>
      </c>
      <c r="D94" s="76"/>
      <c r="E94" s="87">
        <v>1025</v>
      </c>
      <c r="F94" s="83">
        <f t="shared" si="10"/>
        <v>0</v>
      </c>
      <c r="G94" s="84"/>
      <c r="H94" s="85"/>
    </row>
    <row r="95" spans="1:9" s="26" customFormat="1" ht="12.75">
      <c r="A95" s="81">
        <f t="shared" si="3"/>
        <v>78</v>
      </c>
      <c r="B95" s="74" t="s">
        <v>126</v>
      </c>
      <c r="C95" s="75" t="s">
        <v>40</v>
      </c>
      <c r="D95" s="76">
        <v>10</v>
      </c>
      <c r="E95" s="87">
        <v>1065</v>
      </c>
      <c r="F95" s="83">
        <f t="shared" si="10"/>
        <v>10650</v>
      </c>
      <c r="G95" s="84"/>
      <c r="H95" s="85"/>
      <c r="I95" s="26" t="s">
        <v>127</v>
      </c>
    </row>
    <row r="96" spans="1:8" s="26" customFormat="1" ht="12.75">
      <c r="A96" s="81">
        <f t="shared" si="3"/>
        <v>79</v>
      </c>
      <c r="B96" s="74" t="s">
        <v>128</v>
      </c>
      <c r="C96" s="75" t="s">
        <v>40</v>
      </c>
      <c r="D96" s="76"/>
      <c r="E96" s="87">
        <v>1150</v>
      </c>
      <c r="F96" s="83">
        <f t="shared" si="10"/>
        <v>0</v>
      </c>
      <c r="G96" s="84"/>
      <c r="H96" s="85"/>
    </row>
    <row r="97" spans="1:8" s="26" customFormat="1" ht="12.75">
      <c r="A97" s="81">
        <f t="shared" si="3"/>
        <v>80</v>
      </c>
      <c r="B97" s="74" t="s">
        <v>129</v>
      </c>
      <c r="C97" s="75" t="s">
        <v>40</v>
      </c>
      <c r="D97" s="76"/>
      <c r="E97" s="87">
        <v>790</v>
      </c>
      <c r="F97" s="83">
        <f t="shared" si="10"/>
        <v>0</v>
      </c>
      <c r="G97" s="84"/>
      <c r="H97" s="85"/>
    </row>
    <row r="98" spans="1:8" s="26" customFormat="1" ht="12.75">
      <c r="A98" s="81">
        <f t="shared" si="3"/>
        <v>81</v>
      </c>
      <c r="B98" s="74" t="s">
        <v>130</v>
      </c>
      <c r="C98" s="75" t="s">
        <v>42</v>
      </c>
      <c r="D98" s="76"/>
      <c r="E98" s="87">
        <v>4.25</v>
      </c>
      <c r="F98" s="83">
        <f aca="true" t="shared" si="11" ref="F98:F104">D98*E98</f>
        <v>0</v>
      </c>
      <c r="G98" s="84"/>
      <c r="H98" s="85"/>
    </row>
    <row r="99" spans="1:8" s="26" customFormat="1" ht="12.75">
      <c r="A99" s="81">
        <f t="shared" si="3"/>
        <v>82</v>
      </c>
      <c r="B99" s="74" t="s">
        <v>131</v>
      </c>
      <c r="C99" s="75" t="s">
        <v>40</v>
      </c>
      <c r="D99" s="76"/>
      <c r="E99" s="87">
        <v>235</v>
      </c>
      <c r="F99" s="83">
        <f t="shared" si="11"/>
        <v>0</v>
      </c>
      <c r="G99" s="84"/>
      <c r="H99" s="85"/>
    </row>
    <row r="100" spans="1:8" s="26" customFormat="1" ht="12.75">
      <c r="A100" s="81">
        <f t="shared" si="3"/>
        <v>83</v>
      </c>
      <c r="B100" s="74" t="s">
        <v>132</v>
      </c>
      <c r="C100" s="75" t="s">
        <v>40</v>
      </c>
      <c r="D100" s="76"/>
      <c r="E100" s="87">
        <v>500</v>
      </c>
      <c r="F100" s="83">
        <f t="shared" si="11"/>
        <v>0</v>
      </c>
      <c r="G100" s="84"/>
      <c r="H100" s="85"/>
    </row>
    <row r="101" spans="1:8" s="26" customFormat="1" ht="12.75">
      <c r="A101" s="81">
        <f t="shared" si="3"/>
        <v>84</v>
      </c>
      <c r="B101" s="74" t="s">
        <v>133</v>
      </c>
      <c r="C101" s="75" t="s">
        <v>40</v>
      </c>
      <c r="D101" s="76"/>
      <c r="E101" s="87">
        <v>520</v>
      </c>
      <c r="F101" s="83">
        <f t="shared" si="11"/>
        <v>0</v>
      </c>
      <c r="G101" s="84"/>
      <c r="H101" s="85"/>
    </row>
    <row r="102" spans="1:8" s="26" customFormat="1" ht="12.75">
      <c r="A102" s="81">
        <f t="shared" si="3"/>
        <v>85</v>
      </c>
      <c r="B102" s="74" t="s">
        <v>134</v>
      </c>
      <c r="C102" s="75" t="s">
        <v>40</v>
      </c>
      <c r="D102" s="76"/>
      <c r="E102" s="87">
        <v>1415</v>
      </c>
      <c r="F102" s="83">
        <f t="shared" si="11"/>
        <v>0</v>
      </c>
      <c r="G102" s="84"/>
      <c r="H102" s="85"/>
    </row>
    <row r="103" spans="1:9" s="26" customFormat="1" ht="12.75">
      <c r="A103" s="81">
        <f t="shared" si="3"/>
        <v>86</v>
      </c>
      <c r="B103" s="74" t="s">
        <v>135</v>
      </c>
      <c r="C103" s="75" t="s">
        <v>73</v>
      </c>
      <c r="D103" s="76"/>
      <c r="E103" s="87">
        <v>45</v>
      </c>
      <c r="F103" s="83">
        <f t="shared" si="11"/>
        <v>0</v>
      </c>
      <c r="G103" s="84"/>
      <c r="H103" s="85"/>
      <c r="I103" s="26" t="s">
        <v>136</v>
      </c>
    </row>
    <row r="104" spans="1:8" s="26" customFormat="1" ht="12.75">
      <c r="A104" s="81">
        <f t="shared" si="3"/>
        <v>87</v>
      </c>
      <c r="B104" s="74" t="s">
        <v>137</v>
      </c>
      <c r="C104" s="75" t="s">
        <v>35</v>
      </c>
      <c r="D104" s="76"/>
      <c r="E104" s="87">
        <v>0</v>
      </c>
      <c r="F104" s="83">
        <f t="shared" si="11"/>
        <v>0</v>
      </c>
      <c r="G104" s="84"/>
      <c r="H104" s="85"/>
    </row>
    <row r="105" spans="1:8" s="26" customFormat="1" ht="12.75">
      <c r="A105" s="81">
        <f t="shared" si="3"/>
        <v>88</v>
      </c>
      <c r="B105" s="26" t="s">
        <v>138</v>
      </c>
      <c r="C105" s="75" t="s">
        <v>80</v>
      </c>
      <c r="D105" s="76"/>
      <c r="E105" s="83">
        <v>32.15</v>
      </c>
      <c r="F105" s="83">
        <f aca="true" t="shared" si="12" ref="F105:F116">D105*E105</f>
        <v>0</v>
      </c>
      <c r="G105" s="84" t="str">
        <f>IF(C105="mg","ton",IF(C105="kl","kgal",IF(C105="m3","cy",IF(C105="m2","sy",IF(C105="m","lf",IF(C105="m3","cy",C105))))))</f>
        <v>cuyd</v>
      </c>
      <c r="H105" s="85">
        <f>IF(C105="mg",E105*0.9071847,IF(C105="kl",E105*3.785412,IF(C105="m3",E105*0.7645549,IF(C105="M2",E105*0.8361274,IF(C105="m",E105*0.3048,E105)))))</f>
        <v>32.15</v>
      </c>
    </row>
    <row r="106" spans="1:8" s="26" customFormat="1" ht="12.75">
      <c r="A106" s="81">
        <f t="shared" si="3"/>
        <v>89</v>
      </c>
      <c r="B106" s="26" t="s">
        <v>139</v>
      </c>
      <c r="C106" s="75" t="s">
        <v>80</v>
      </c>
      <c r="D106" s="76"/>
      <c r="E106" s="83">
        <v>38.45</v>
      </c>
      <c r="F106" s="83">
        <f t="shared" si="12"/>
        <v>0</v>
      </c>
      <c r="G106" s="84" t="str">
        <f>IF(C106="mg","ton",IF(C106="kl","kgal",IF(C106="m3","cy",IF(C106="m2","sy",IF(C106="m","lf",IF(C106="m3","cy",C106))))))</f>
        <v>cuyd</v>
      </c>
      <c r="H106" s="85">
        <f>IF(C106="mg",E106*0.9071847,IF(C106="kl",E106*3.785412,IF(C106="m3",E106*0.7645549,IF(C106="M2",E106*0.8361274,IF(C106="m",E106*0.3048,E106)))))</f>
        <v>38.45</v>
      </c>
    </row>
    <row r="107" spans="1:8" s="26" customFormat="1" ht="12.75">
      <c r="A107" s="81">
        <f t="shared" si="3"/>
        <v>90</v>
      </c>
      <c r="B107" s="26" t="s">
        <v>140</v>
      </c>
      <c r="C107" s="75" t="s">
        <v>80</v>
      </c>
      <c r="D107" s="76"/>
      <c r="E107" s="83">
        <v>32.3</v>
      </c>
      <c r="F107" s="83">
        <f t="shared" si="12"/>
        <v>0</v>
      </c>
      <c r="G107" s="84"/>
      <c r="H107" s="85"/>
    </row>
    <row r="108" spans="1:8" s="26" customFormat="1" ht="12.75">
      <c r="A108" s="81">
        <f t="shared" si="3"/>
        <v>91</v>
      </c>
      <c r="B108" s="26" t="s">
        <v>141</v>
      </c>
      <c r="C108" s="75" t="s">
        <v>42</v>
      </c>
      <c r="D108" s="76"/>
      <c r="E108" s="83">
        <v>125.9</v>
      </c>
      <c r="F108" s="83">
        <f t="shared" si="12"/>
        <v>0</v>
      </c>
      <c r="G108" s="84"/>
      <c r="H108" s="85"/>
    </row>
    <row r="109" spans="1:8" s="26" customFormat="1" ht="12.75">
      <c r="A109" s="81">
        <f t="shared" si="3"/>
        <v>92</v>
      </c>
      <c r="B109" s="74" t="s">
        <v>142</v>
      </c>
      <c r="C109" s="75" t="s">
        <v>37</v>
      </c>
      <c r="D109" s="76"/>
      <c r="E109" s="87">
        <v>35</v>
      </c>
      <c r="F109" s="83">
        <f t="shared" si="12"/>
        <v>0</v>
      </c>
      <c r="G109" s="84"/>
      <c r="H109" s="85"/>
    </row>
    <row r="110" spans="1:8" s="26" customFormat="1" ht="12.75">
      <c r="A110" s="81">
        <f t="shared" si="3"/>
        <v>93</v>
      </c>
      <c r="B110" s="74" t="s">
        <v>143</v>
      </c>
      <c r="C110" s="75" t="s">
        <v>37</v>
      </c>
      <c r="D110" s="76"/>
      <c r="E110" s="87">
        <v>19.15</v>
      </c>
      <c r="F110" s="83">
        <f t="shared" si="12"/>
        <v>0</v>
      </c>
      <c r="G110" s="84"/>
      <c r="H110" s="85"/>
    </row>
    <row r="111" spans="1:8" s="26" customFormat="1" ht="12.75">
      <c r="A111" s="81">
        <f t="shared" si="3"/>
        <v>94</v>
      </c>
      <c r="B111" s="26" t="s">
        <v>144</v>
      </c>
      <c r="C111" s="75" t="s">
        <v>37</v>
      </c>
      <c r="D111" s="76"/>
      <c r="E111" s="83">
        <v>55.75</v>
      </c>
      <c r="F111" s="83">
        <f t="shared" si="12"/>
        <v>0</v>
      </c>
      <c r="G111" s="84"/>
      <c r="H111" s="85"/>
    </row>
    <row r="112" spans="1:8" s="26" customFormat="1" ht="12.75">
      <c r="A112" s="81">
        <f t="shared" si="3"/>
        <v>95</v>
      </c>
      <c r="B112" s="26" t="s">
        <v>145</v>
      </c>
      <c r="C112" s="75" t="s">
        <v>37</v>
      </c>
      <c r="D112" s="76"/>
      <c r="E112" s="83">
        <v>22.3</v>
      </c>
      <c r="F112" s="83">
        <f t="shared" si="12"/>
        <v>0</v>
      </c>
      <c r="G112" s="84"/>
      <c r="H112" s="85"/>
    </row>
    <row r="113" spans="1:8" s="26" customFormat="1" ht="12.75">
      <c r="A113" s="81">
        <f t="shared" si="3"/>
        <v>96</v>
      </c>
      <c r="B113" s="74" t="s">
        <v>146</v>
      </c>
      <c r="C113" s="75" t="s">
        <v>37</v>
      </c>
      <c r="D113" s="76"/>
      <c r="E113" s="87">
        <v>28.15</v>
      </c>
      <c r="F113" s="83">
        <f t="shared" si="12"/>
        <v>0</v>
      </c>
      <c r="G113" s="84"/>
      <c r="H113" s="85"/>
    </row>
    <row r="114" spans="1:8" s="26" customFormat="1" ht="12.75">
      <c r="A114" s="81">
        <f t="shared" si="3"/>
        <v>97</v>
      </c>
      <c r="B114" s="74" t="s">
        <v>148</v>
      </c>
      <c r="C114" s="75" t="s">
        <v>37</v>
      </c>
      <c r="D114" s="76"/>
      <c r="E114" s="87">
        <v>125</v>
      </c>
      <c r="F114" s="83">
        <f t="shared" si="12"/>
        <v>0</v>
      </c>
      <c r="G114" s="84"/>
      <c r="H114" s="85"/>
    </row>
    <row r="115" spans="1:8" s="26" customFormat="1" ht="12.75">
      <c r="A115" s="81">
        <f t="shared" si="3"/>
        <v>98</v>
      </c>
      <c r="B115" s="74" t="s">
        <v>149</v>
      </c>
      <c r="C115" s="75" t="s">
        <v>37</v>
      </c>
      <c r="D115" s="76"/>
      <c r="E115" s="87">
        <v>12.1</v>
      </c>
      <c r="F115" s="83">
        <f t="shared" si="12"/>
        <v>0</v>
      </c>
      <c r="G115" s="84"/>
      <c r="H115" s="85"/>
    </row>
    <row r="116" spans="1:8" s="120" customFormat="1" ht="12.75">
      <c r="A116" s="119">
        <f t="shared" si="3"/>
        <v>99</v>
      </c>
      <c r="B116" s="120" t="s">
        <v>150</v>
      </c>
      <c r="C116" s="121" t="s">
        <v>42</v>
      </c>
      <c r="D116" s="122">
        <v>70</v>
      </c>
      <c r="E116" s="94">
        <v>975</v>
      </c>
      <c r="F116" s="93">
        <f t="shared" si="12"/>
        <v>68250</v>
      </c>
      <c r="G116" s="123"/>
      <c r="H116" s="124"/>
    </row>
    <row r="117" spans="1:8" s="26" customFormat="1" ht="12.75">
      <c r="A117" s="81">
        <f t="shared" si="3"/>
        <v>100</v>
      </c>
      <c r="B117" s="74" t="s">
        <v>151</v>
      </c>
      <c r="C117" s="75" t="s">
        <v>37</v>
      </c>
      <c r="D117" s="76"/>
      <c r="E117" s="87">
        <v>0.17</v>
      </c>
      <c r="F117" s="83">
        <f aca="true" t="shared" si="13" ref="F117:F136">D117*E117</f>
        <v>0</v>
      </c>
      <c r="G117" s="84" t="str">
        <f>IF(C117="mg","ton",IF(C117="kl","kgal",IF(C117="m3","cy",IF(C117="m2","sy",IF(C117="m","lf",IF(C117="m3","cy",C117))))))</f>
        <v>sqft</v>
      </c>
      <c r="H117" s="85">
        <f>IF(C117="mg",E117*0.9071847,IF(C117="kl",E117*3.785412,IF(C117="m3",E117*0.7645549,IF(C117="M2",E117*0.8361274,IF(C117="m",E117*0.3048,E117)))))</f>
        <v>0.17</v>
      </c>
    </row>
    <row r="118" spans="1:8" s="26" customFormat="1" ht="12.75">
      <c r="A118" s="81">
        <f aca="true" t="shared" si="14" ref="A118:A181">A117+1</f>
        <v>101</v>
      </c>
      <c r="B118" s="26" t="s">
        <v>152</v>
      </c>
      <c r="C118" s="75" t="s">
        <v>96</v>
      </c>
      <c r="D118" s="76"/>
      <c r="E118" s="87">
        <v>18</v>
      </c>
      <c r="F118" s="83">
        <f t="shared" si="13"/>
        <v>0</v>
      </c>
      <c r="G118" s="84" t="str">
        <f>IF(C118="mg","ton",IF(C118="kl","kgal",IF(C118="m3","cy",IF(C118="m2","sy",IF(C118="m","lf",IF(C118="m3","cy",C118))))))</f>
        <v>ton</v>
      </c>
      <c r="H118" s="85">
        <f>IF(C118="mg",E118*0.9071847,IF(C118="kl",E118*3.785412,IF(C118="m3",E118*0.7645549,IF(C118="M2",E118*0.8361274,IF(C118="m",E118*0.3048,E118)))))</f>
        <v>18</v>
      </c>
    </row>
    <row r="119" spans="1:8" s="26" customFormat="1" ht="12.75">
      <c r="A119" s="81">
        <f t="shared" si="14"/>
        <v>102</v>
      </c>
      <c r="B119" s="26" t="s">
        <v>153</v>
      </c>
      <c r="C119" s="75" t="s">
        <v>96</v>
      </c>
      <c r="D119" s="76">
        <v>4276</v>
      </c>
      <c r="E119" s="87">
        <v>14.9</v>
      </c>
      <c r="F119" s="83">
        <f>D119*E119</f>
        <v>63712.4</v>
      </c>
      <c r="G119" s="84"/>
      <c r="H119" s="85"/>
    </row>
    <row r="120" spans="1:8" s="26" customFormat="1" ht="12.75">
      <c r="A120" s="81">
        <f t="shared" si="14"/>
        <v>103</v>
      </c>
      <c r="B120" s="26" t="s">
        <v>154</v>
      </c>
      <c r="C120" s="75" t="s">
        <v>96</v>
      </c>
      <c r="D120" s="76"/>
      <c r="E120" s="87">
        <v>55</v>
      </c>
      <c r="F120" s="97">
        <f t="shared" si="13"/>
        <v>0</v>
      </c>
      <c r="G120" s="84"/>
      <c r="H120" s="85"/>
    </row>
    <row r="121" spans="1:8" s="26" customFormat="1" ht="12.75">
      <c r="A121" s="81">
        <f t="shared" si="14"/>
        <v>104</v>
      </c>
      <c r="B121" s="98" t="s">
        <v>155</v>
      </c>
      <c r="C121" s="99" t="s">
        <v>96</v>
      </c>
      <c r="D121" s="76"/>
      <c r="E121" s="100">
        <v>41.85</v>
      </c>
      <c r="F121" s="97">
        <f t="shared" si="13"/>
        <v>0</v>
      </c>
      <c r="G121" s="84"/>
      <c r="H121" s="85"/>
    </row>
    <row r="122" spans="1:8" s="26" customFormat="1" ht="12.75">
      <c r="A122" s="101">
        <f t="shared" si="14"/>
        <v>105</v>
      </c>
      <c r="B122" s="98" t="s">
        <v>156</v>
      </c>
      <c r="C122" s="99" t="s">
        <v>96</v>
      </c>
      <c r="D122" s="76">
        <v>2050</v>
      </c>
      <c r="E122" s="100">
        <v>36.75</v>
      </c>
      <c r="F122" s="97">
        <f t="shared" si="13"/>
        <v>75337.5</v>
      </c>
      <c r="G122" s="84"/>
      <c r="H122" s="85"/>
    </row>
    <row r="123" spans="1:8" s="104" customFormat="1" ht="12.75">
      <c r="A123" s="101">
        <f t="shared" si="14"/>
        <v>106</v>
      </c>
      <c r="B123" s="98" t="s">
        <v>157</v>
      </c>
      <c r="C123" s="99" t="s">
        <v>96</v>
      </c>
      <c r="D123" s="76"/>
      <c r="E123" s="100">
        <v>44.25</v>
      </c>
      <c r="F123" s="97">
        <f t="shared" si="13"/>
        <v>0</v>
      </c>
      <c r="G123" s="102" t="str">
        <f>IF(C123="mg","ton",IF(C123="kl","kgal",IF(C123="m3","cy",IF(C123="m2","sy",IF(C123="m","lf",IF(C123="m3","cy",C123))))))</f>
        <v>ton</v>
      </c>
      <c r="H123" s="103">
        <f>IF(C123="mg",E123*0.9071847,IF(C123="kl",E123*3.785412,IF(C123="m3",E123*0.7645549,IF(C123="M2",E123*0.8361274,IF(C123="m",E123*0.3048,E123)))))</f>
        <v>44.25</v>
      </c>
    </row>
    <row r="124" spans="1:8" s="104" customFormat="1" ht="12.75">
      <c r="A124" s="101">
        <f t="shared" si="14"/>
        <v>107</v>
      </c>
      <c r="B124" s="98" t="s">
        <v>158</v>
      </c>
      <c r="C124" s="99" t="s">
        <v>96</v>
      </c>
      <c r="D124" s="76"/>
      <c r="E124" s="100">
        <v>43</v>
      </c>
      <c r="F124" s="97">
        <f t="shared" si="13"/>
        <v>0</v>
      </c>
      <c r="G124" s="102" t="str">
        <f>IF(C124="mg","ton",IF(C124="kl","kgal",IF(C124="m3","cy",IF(C124="m2","sy",IF(C124="m","lf",IF(C124="m3","cy",C124))))))</f>
        <v>ton</v>
      </c>
      <c r="H124" s="103">
        <f>IF(C124="mg",E124*0.9071847,IF(C124="kl",E124*3.785412,IF(C124="m3",E124*0.7645549,IF(C124="M2",E124*0.8361274,IF(C124="m",E124*0.3048,E124)))))</f>
        <v>43</v>
      </c>
    </row>
    <row r="125" spans="1:8" s="104" customFormat="1" ht="12.75">
      <c r="A125" s="101">
        <f t="shared" si="14"/>
        <v>108</v>
      </c>
      <c r="B125" s="98" t="s">
        <v>159</v>
      </c>
      <c r="C125" s="99" t="s">
        <v>96</v>
      </c>
      <c r="D125" s="76"/>
      <c r="E125" s="87">
        <v>197</v>
      </c>
      <c r="F125" s="97">
        <f t="shared" si="13"/>
        <v>0</v>
      </c>
      <c r="G125" s="102"/>
      <c r="H125" s="103"/>
    </row>
    <row r="126" spans="1:8" s="104" customFormat="1" ht="12.75">
      <c r="A126" s="101">
        <f t="shared" si="14"/>
        <v>109</v>
      </c>
      <c r="B126" s="98" t="s">
        <v>160</v>
      </c>
      <c r="C126" s="99" t="s">
        <v>96</v>
      </c>
      <c r="D126" s="76"/>
      <c r="E126" s="87">
        <v>239</v>
      </c>
      <c r="F126" s="97">
        <f t="shared" si="13"/>
        <v>0</v>
      </c>
      <c r="G126" s="102"/>
      <c r="H126" s="103"/>
    </row>
    <row r="127" spans="1:8" s="26" customFormat="1" ht="12.75">
      <c r="A127" s="101">
        <f t="shared" si="14"/>
        <v>110</v>
      </c>
      <c r="B127" s="74" t="s">
        <v>161</v>
      </c>
      <c r="C127" s="75" t="s">
        <v>40</v>
      </c>
      <c r="D127" s="76"/>
      <c r="E127" s="87">
        <v>371</v>
      </c>
      <c r="F127" s="83">
        <f t="shared" si="13"/>
        <v>0</v>
      </c>
      <c r="G127" s="84" t="str">
        <f aca="true" t="shared" si="15" ref="G127:G179">IF(C127="mg","ton",IF(C127="kl","kgal",IF(C127="m3","cy",IF(C127="m2","sy",IF(C127="m","lf",IF(C127="m3","cy",C127))))))</f>
        <v>each</v>
      </c>
      <c r="H127" s="85">
        <f aca="true" t="shared" si="16" ref="H127:H179">IF(C127="mg",E127*0.9071847,IF(C127="kl",E127*3.785412,IF(C127="m3",E127*0.7645549,IF(C127="M2",E127*0.8361274,IF(C127="m",E127*0.3048,E127)))))</f>
        <v>371</v>
      </c>
    </row>
    <row r="128" spans="1:8" s="26" customFormat="1" ht="12.75">
      <c r="A128" s="101">
        <f t="shared" si="14"/>
        <v>111</v>
      </c>
      <c r="B128" s="74" t="s">
        <v>162</v>
      </c>
      <c r="C128" s="75" t="s">
        <v>73</v>
      </c>
      <c r="D128" s="76"/>
      <c r="E128" s="87">
        <v>27</v>
      </c>
      <c r="F128" s="83">
        <f t="shared" si="13"/>
        <v>0</v>
      </c>
      <c r="G128" s="84" t="str">
        <f t="shared" si="15"/>
        <v>sqyd</v>
      </c>
      <c r="H128" s="85">
        <f t="shared" si="16"/>
        <v>27</v>
      </c>
    </row>
    <row r="129" spans="1:8" s="26" customFormat="1" ht="12.75">
      <c r="A129" s="101">
        <f t="shared" si="14"/>
        <v>112</v>
      </c>
      <c r="B129" s="74" t="s">
        <v>163</v>
      </c>
      <c r="C129" s="75" t="s">
        <v>73</v>
      </c>
      <c r="D129" s="76"/>
      <c r="E129" s="87">
        <v>58</v>
      </c>
      <c r="F129" s="83">
        <f aca="true" t="shared" si="17" ref="F129:F134">D129*E129</f>
        <v>0</v>
      </c>
      <c r="G129" s="84"/>
      <c r="H129" s="85"/>
    </row>
    <row r="130" spans="1:8" s="26" customFormat="1" ht="12.75">
      <c r="A130" s="81">
        <f aca="true" t="shared" si="18" ref="A130:A136">A129+1</f>
        <v>113</v>
      </c>
      <c r="B130" s="74" t="s">
        <v>164</v>
      </c>
      <c r="C130" s="75" t="s">
        <v>42</v>
      </c>
      <c r="D130" s="76"/>
      <c r="E130" s="87">
        <v>13</v>
      </c>
      <c r="F130" s="83">
        <f t="shared" si="17"/>
        <v>0</v>
      </c>
      <c r="G130" s="84"/>
      <c r="H130" s="85"/>
    </row>
    <row r="131" spans="1:9" s="26" customFormat="1" ht="12.75">
      <c r="A131" s="81">
        <f t="shared" si="18"/>
        <v>114</v>
      </c>
      <c r="B131" s="74" t="s">
        <v>165</v>
      </c>
      <c r="C131" s="75" t="s">
        <v>42</v>
      </c>
      <c r="D131" s="76">
        <v>1720</v>
      </c>
      <c r="E131" s="87">
        <v>8.4</v>
      </c>
      <c r="F131" s="83">
        <f t="shared" si="17"/>
        <v>14448</v>
      </c>
      <c r="G131" s="84"/>
      <c r="H131" s="85"/>
      <c r="I131" s="26" t="s">
        <v>258</v>
      </c>
    </row>
    <row r="132" spans="1:8" s="26" customFormat="1" ht="12.75">
      <c r="A132" s="81">
        <f t="shared" si="18"/>
        <v>115</v>
      </c>
      <c r="B132" s="74" t="s">
        <v>166</v>
      </c>
      <c r="C132" s="75" t="s">
        <v>37</v>
      </c>
      <c r="D132" s="76"/>
      <c r="E132" s="87">
        <v>5.4</v>
      </c>
      <c r="F132" s="83">
        <f t="shared" si="17"/>
        <v>0</v>
      </c>
      <c r="G132" s="84"/>
      <c r="H132" s="85"/>
    </row>
    <row r="133" spans="1:9" s="26" customFormat="1" ht="12.75">
      <c r="A133" s="81">
        <f t="shared" si="18"/>
        <v>116</v>
      </c>
      <c r="B133" s="74" t="s">
        <v>167</v>
      </c>
      <c r="C133" s="75" t="s">
        <v>37</v>
      </c>
      <c r="D133" s="76">
        <v>600</v>
      </c>
      <c r="E133" s="87">
        <v>3.5</v>
      </c>
      <c r="F133" s="83">
        <f t="shared" si="17"/>
        <v>2100</v>
      </c>
      <c r="G133" s="84"/>
      <c r="H133" s="85"/>
      <c r="I133" s="26" t="s">
        <v>261</v>
      </c>
    </row>
    <row r="134" spans="1:8" s="26" customFormat="1" ht="12.75">
      <c r="A134" s="81">
        <f t="shared" si="18"/>
        <v>117</v>
      </c>
      <c r="B134" s="74" t="s">
        <v>169</v>
      </c>
      <c r="C134" s="75" t="s">
        <v>37</v>
      </c>
      <c r="D134" s="76"/>
      <c r="E134" s="87">
        <v>4.1</v>
      </c>
      <c r="F134" s="83">
        <f t="shared" si="17"/>
        <v>0</v>
      </c>
      <c r="G134" s="84"/>
      <c r="H134" s="85"/>
    </row>
    <row r="135" spans="1:8" s="26" customFormat="1" ht="12.75">
      <c r="A135" s="101">
        <f t="shared" si="18"/>
        <v>118</v>
      </c>
      <c r="B135" s="74" t="s">
        <v>170</v>
      </c>
      <c r="C135" s="75" t="s">
        <v>37</v>
      </c>
      <c r="D135" s="76">
        <v>10350</v>
      </c>
      <c r="E135" s="87">
        <v>2.8</v>
      </c>
      <c r="F135" s="83">
        <f t="shared" si="13"/>
        <v>28979.999999999996</v>
      </c>
      <c r="G135" s="84" t="str">
        <f t="shared" si="15"/>
        <v>sqft</v>
      </c>
      <c r="H135" s="85">
        <f t="shared" si="16"/>
        <v>2.8</v>
      </c>
    </row>
    <row r="136" spans="1:8" s="26" customFormat="1" ht="12.75">
      <c r="A136" s="101">
        <f t="shared" si="18"/>
        <v>119</v>
      </c>
      <c r="B136" s="74" t="s">
        <v>171</v>
      </c>
      <c r="C136" s="75" t="s">
        <v>37</v>
      </c>
      <c r="D136" s="76"/>
      <c r="E136" s="87">
        <v>4.8</v>
      </c>
      <c r="F136" s="83">
        <f t="shared" si="13"/>
        <v>0</v>
      </c>
      <c r="G136" s="84"/>
      <c r="H136" s="85"/>
    </row>
    <row r="137" spans="1:8" s="26" customFormat="1" ht="12.75">
      <c r="A137" s="101">
        <f>A136+1</f>
        <v>120</v>
      </c>
      <c r="B137" s="74" t="s">
        <v>262</v>
      </c>
      <c r="C137" s="75" t="s">
        <v>37</v>
      </c>
      <c r="D137" s="76"/>
      <c r="E137" s="87">
        <v>8.7</v>
      </c>
      <c r="F137" s="83">
        <f aca="true" t="shared" si="19" ref="F137:F153">D137*E137</f>
        <v>0</v>
      </c>
      <c r="G137" s="84" t="str">
        <f t="shared" si="15"/>
        <v>sqft</v>
      </c>
      <c r="H137" s="85">
        <f t="shared" si="16"/>
        <v>8.7</v>
      </c>
    </row>
    <row r="138" spans="1:8" s="26" customFormat="1" ht="12.75">
      <c r="A138" s="81">
        <f t="shared" si="14"/>
        <v>121</v>
      </c>
      <c r="B138" s="74" t="s">
        <v>263</v>
      </c>
      <c r="C138" s="75" t="s">
        <v>80</v>
      </c>
      <c r="D138" s="76"/>
      <c r="E138" s="87">
        <v>1230</v>
      </c>
      <c r="F138" s="83">
        <f>D138*E138</f>
        <v>0</v>
      </c>
      <c r="G138" s="84"/>
      <c r="H138" s="85"/>
    </row>
    <row r="139" spans="1:8" s="26" customFormat="1" ht="12.75">
      <c r="A139" s="81">
        <f t="shared" si="14"/>
        <v>122</v>
      </c>
      <c r="B139" s="74" t="s">
        <v>264</v>
      </c>
      <c r="C139" s="75" t="s">
        <v>40</v>
      </c>
      <c r="D139" s="76"/>
      <c r="E139" s="87">
        <v>930</v>
      </c>
      <c r="F139" s="83">
        <f>D139*E139</f>
        <v>0</v>
      </c>
      <c r="G139" s="84"/>
      <c r="H139" s="85"/>
    </row>
    <row r="140" spans="1:8" s="26" customFormat="1" ht="12.75">
      <c r="A140" s="81">
        <f t="shared" si="14"/>
        <v>123</v>
      </c>
      <c r="B140" s="74" t="s">
        <v>265</v>
      </c>
      <c r="C140" s="75" t="s">
        <v>40</v>
      </c>
      <c r="D140" s="76"/>
      <c r="E140" s="87">
        <v>500</v>
      </c>
      <c r="F140" s="83">
        <f>D140*E140</f>
        <v>0</v>
      </c>
      <c r="G140" s="84" t="str">
        <f>IF(C133="mg","ton",IF(C133="kl","kgal",IF(C133="m3","cy",IF(C133="m2","sy",IF(C133="m","lf",IF(C133="m3","cy",C133))))))</f>
        <v>sqft</v>
      </c>
      <c r="H140" s="85">
        <f>IF(C133="mg",E133*0.9071847,IF(C133="kl",E133*3.785412,IF(C133="m3",E133*0.7645549,IF(C133="M2",E133*0.8361274,IF(C133="m",E133*0.3048,E133)))))</f>
        <v>3.5</v>
      </c>
    </row>
    <row r="141" spans="1:8" s="26" customFormat="1" ht="12.75">
      <c r="A141" s="81">
        <f t="shared" si="14"/>
        <v>124</v>
      </c>
      <c r="B141" s="74" t="s">
        <v>266</v>
      </c>
      <c r="C141" s="75" t="s">
        <v>37</v>
      </c>
      <c r="D141" s="76"/>
      <c r="E141" s="87">
        <v>8.95</v>
      </c>
      <c r="F141" s="83">
        <f t="shared" si="19"/>
        <v>0</v>
      </c>
      <c r="G141" s="84" t="str">
        <f t="shared" si="15"/>
        <v>sqft</v>
      </c>
      <c r="H141" s="85">
        <f t="shared" si="16"/>
        <v>8.95</v>
      </c>
    </row>
    <row r="142" spans="1:8" s="26" customFormat="1" ht="12.75">
      <c r="A142" s="81">
        <f t="shared" si="14"/>
        <v>125</v>
      </c>
      <c r="B142" s="74" t="s">
        <v>267</v>
      </c>
      <c r="C142" s="75" t="s">
        <v>37</v>
      </c>
      <c r="D142" s="76"/>
      <c r="E142" s="87">
        <v>4.5</v>
      </c>
      <c r="F142" s="83">
        <f t="shared" si="19"/>
        <v>0</v>
      </c>
      <c r="G142" s="84"/>
      <c r="H142" s="85"/>
    </row>
    <row r="143" spans="1:9" s="26" customFormat="1" ht="12.75">
      <c r="A143" s="81">
        <f t="shared" si="14"/>
        <v>126</v>
      </c>
      <c r="B143" s="74" t="s">
        <v>172</v>
      </c>
      <c r="C143" s="75" t="s">
        <v>40</v>
      </c>
      <c r="D143" s="76">
        <v>6</v>
      </c>
      <c r="E143" s="87">
        <v>163</v>
      </c>
      <c r="F143" s="83">
        <f t="shared" si="19"/>
        <v>978</v>
      </c>
      <c r="G143" s="84" t="str">
        <f t="shared" si="15"/>
        <v>each</v>
      </c>
      <c r="H143" s="85">
        <f t="shared" si="16"/>
        <v>163</v>
      </c>
      <c r="I143" s="26" t="s">
        <v>268</v>
      </c>
    </row>
    <row r="144" spans="1:8" s="26" customFormat="1" ht="12.75">
      <c r="A144" s="81">
        <f t="shared" si="14"/>
        <v>127</v>
      </c>
      <c r="B144" s="74" t="s">
        <v>173</v>
      </c>
      <c r="C144" s="75" t="s">
        <v>40</v>
      </c>
      <c r="D144" s="76"/>
      <c r="E144" s="87">
        <v>310</v>
      </c>
      <c r="F144" s="83">
        <f t="shared" si="19"/>
        <v>0</v>
      </c>
      <c r="G144" s="84" t="str">
        <f t="shared" si="15"/>
        <v>each</v>
      </c>
      <c r="H144" s="85">
        <f t="shared" si="16"/>
        <v>310</v>
      </c>
    </row>
    <row r="145" spans="1:9" s="26" customFormat="1" ht="12.75">
      <c r="A145" s="81">
        <f t="shared" si="14"/>
        <v>128</v>
      </c>
      <c r="B145" s="74" t="s">
        <v>174</v>
      </c>
      <c r="C145" s="75" t="s">
        <v>40</v>
      </c>
      <c r="D145" s="76">
        <v>6</v>
      </c>
      <c r="E145" s="87">
        <v>150</v>
      </c>
      <c r="F145" s="83">
        <f>D145*E145</f>
        <v>900</v>
      </c>
      <c r="G145" s="84"/>
      <c r="H145" s="85"/>
      <c r="I145" s="26" t="s">
        <v>268</v>
      </c>
    </row>
    <row r="146" spans="1:9" s="26" customFormat="1" ht="12.75" customHeight="1">
      <c r="A146" s="81">
        <f t="shared" si="14"/>
        <v>129</v>
      </c>
      <c r="B146" s="74" t="s">
        <v>175</v>
      </c>
      <c r="C146" s="75" t="s">
        <v>37</v>
      </c>
      <c r="D146" s="76">
        <v>2365</v>
      </c>
      <c r="E146" s="87">
        <v>2.75</v>
      </c>
      <c r="F146" s="83">
        <f t="shared" si="19"/>
        <v>6503.75</v>
      </c>
      <c r="G146" s="84" t="str">
        <f t="shared" si="15"/>
        <v>sqft</v>
      </c>
      <c r="H146" s="85">
        <f t="shared" si="16"/>
        <v>2.75</v>
      </c>
      <c r="I146" s="81" t="s">
        <v>269</v>
      </c>
    </row>
    <row r="147" spans="1:8" s="26" customFormat="1" ht="12.75">
      <c r="A147" s="81">
        <f t="shared" si="14"/>
        <v>130</v>
      </c>
      <c r="B147" s="74" t="s">
        <v>177</v>
      </c>
      <c r="C147" s="75" t="s">
        <v>40</v>
      </c>
      <c r="D147" s="76"/>
      <c r="E147" s="87">
        <v>3.7</v>
      </c>
      <c r="F147" s="83">
        <f t="shared" si="19"/>
        <v>0</v>
      </c>
      <c r="G147" s="84" t="str">
        <f t="shared" si="15"/>
        <v>each</v>
      </c>
      <c r="H147" s="85">
        <f t="shared" si="16"/>
        <v>3.7</v>
      </c>
    </row>
    <row r="148" spans="1:8" s="26" customFormat="1" ht="12.75">
      <c r="A148" s="81">
        <f t="shared" si="14"/>
        <v>131</v>
      </c>
      <c r="B148" s="74" t="s">
        <v>178</v>
      </c>
      <c r="C148" s="75" t="s">
        <v>40</v>
      </c>
      <c r="D148" s="76"/>
      <c r="E148" s="87">
        <v>3.5</v>
      </c>
      <c r="F148" s="83">
        <f t="shared" si="19"/>
        <v>0</v>
      </c>
      <c r="G148" s="84" t="str">
        <f t="shared" si="15"/>
        <v>each</v>
      </c>
      <c r="H148" s="85">
        <f t="shared" si="16"/>
        <v>3.5</v>
      </c>
    </row>
    <row r="149" spans="1:8" s="26" customFormat="1" ht="12.75">
      <c r="A149" s="81">
        <f t="shared" si="14"/>
        <v>132</v>
      </c>
      <c r="B149" s="74" t="s">
        <v>179</v>
      </c>
      <c r="C149" s="75" t="s">
        <v>35</v>
      </c>
      <c r="D149" s="76"/>
      <c r="E149" s="87">
        <v>100</v>
      </c>
      <c r="F149" s="83">
        <f>D149*E149</f>
        <v>0</v>
      </c>
      <c r="G149" s="84"/>
      <c r="H149" s="85"/>
    </row>
    <row r="150" spans="1:8" s="26" customFormat="1" ht="12.75">
      <c r="A150" s="81">
        <f t="shared" si="14"/>
        <v>133</v>
      </c>
      <c r="B150" s="74" t="s">
        <v>180</v>
      </c>
      <c r="C150" s="75" t="s">
        <v>35</v>
      </c>
      <c r="D150" s="76"/>
      <c r="E150" s="87">
        <v>20</v>
      </c>
      <c r="F150" s="83">
        <f t="shared" si="19"/>
        <v>0</v>
      </c>
      <c r="G150" s="84" t="str">
        <f t="shared" si="15"/>
        <v>ls</v>
      </c>
      <c r="H150" s="85">
        <f t="shared" si="16"/>
        <v>20</v>
      </c>
    </row>
    <row r="151" spans="1:9" s="26" customFormat="1" ht="12.75">
      <c r="A151" s="81">
        <f t="shared" si="14"/>
        <v>134</v>
      </c>
      <c r="B151" s="74" t="s">
        <v>181</v>
      </c>
      <c r="C151" s="75" t="s">
        <v>35</v>
      </c>
      <c r="D151" s="76">
        <v>6</v>
      </c>
      <c r="E151" s="87">
        <v>70</v>
      </c>
      <c r="F151" s="83">
        <f t="shared" si="19"/>
        <v>420</v>
      </c>
      <c r="G151" s="84" t="str">
        <f t="shared" si="15"/>
        <v>ls</v>
      </c>
      <c r="H151" s="85">
        <f t="shared" si="16"/>
        <v>70</v>
      </c>
      <c r="I151" s="26" t="s">
        <v>270</v>
      </c>
    </row>
    <row r="152" spans="1:8" s="26" customFormat="1" ht="12.75">
      <c r="A152" s="81">
        <f t="shared" si="14"/>
        <v>135</v>
      </c>
      <c r="B152" s="74" t="s">
        <v>182</v>
      </c>
      <c r="C152" s="75" t="s">
        <v>35</v>
      </c>
      <c r="D152" s="76"/>
      <c r="E152" s="87">
        <v>500</v>
      </c>
      <c r="F152" s="83">
        <f>D152*E152</f>
        <v>0</v>
      </c>
      <c r="G152" s="84"/>
      <c r="H152" s="85"/>
    </row>
    <row r="153" spans="1:9" s="26" customFormat="1" ht="12.75">
      <c r="A153" s="81">
        <f t="shared" si="14"/>
        <v>136</v>
      </c>
      <c r="B153" s="74" t="s">
        <v>183</v>
      </c>
      <c r="C153" s="75" t="s">
        <v>35</v>
      </c>
      <c r="D153" s="76">
        <v>6</v>
      </c>
      <c r="E153" s="87">
        <v>114</v>
      </c>
      <c r="F153" s="83">
        <f t="shared" si="19"/>
        <v>684</v>
      </c>
      <c r="G153" s="84" t="str">
        <f t="shared" si="15"/>
        <v>ls</v>
      </c>
      <c r="H153" s="85">
        <f t="shared" si="16"/>
        <v>114</v>
      </c>
      <c r="I153" s="26" t="s">
        <v>271</v>
      </c>
    </row>
    <row r="154" spans="1:8" s="26" customFormat="1" ht="12.75">
      <c r="A154" s="81">
        <f t="shared" si="14"/>
        <v>137</v>
      </c>
      <c r="B154" s="74" t="s">
        <v>184</v>
      </c>
      <c r="C154" s="75" t="s">
        <v>35</v>
      </c>
      <c r="D154" s="76"/>
      <c r="E154" s="87">
        <v>750</v>
      </c>
      <c r="F154" s="83">
        <f>D154*E154</f>
        <v>0</v>
      </c>
      <c r="G154" s="84" t="str">
        <f>IF(C152="mg","ton",IF(C152="kl","kgal",IF(C152="m3","cy",IF(C152="m2","sy",IF(C152="m","lf",IF(C152="m3","cy",C152))))))</f>
        <v>ls</v>
      </c>
      <c r="H154" s="85">
        <f>IF(C152="mg",E152*0.9071847,IF(C152="kl",E152*3.785412,IF(C152="m3",E152*0.7645549,IF(C152="M2",E152*0.8361274,IF(C152="m",E152*0.3048,E152)))))</f>
        <v>500</v>
      </c>
    </row>
    <row r="155" spans="1:9" s="26" customFormat="1" ht="12.75">
      <c r="A155" s="81">
        <f t="shared" si="14"/>
        <v>138</v>
      </c>
      <c r="B155" s="74" t="s">
        <v>185</v>
      </c>
      <c r="C155" s="75" t="s">
        <v>37</v>
      </c>
      <c r="D155" s="76">
        <v>54</v>
      </c>
      <c r="E155" s="87">
        <v>23.5</v>
      </c>
      <c r="F155" s="83">
        <f aca="true" t="shared" si="20" ref="F155:F179">D155*E155</f>
        <v>1269</v>
      </c>
      <c r="G155" s="84" t="str">
        <f t="shared" si="15"/>
        <v>sqft</v>
      </c>
      <c r="H155" s="85">
        <f t="shared" si="16"/>
        <v>23.5</v>
      </c>
      <c r="I155" s="26" t="s">
        <v>272</v>
      </c>
    </row>
    <row r="156" spans="1:8" s="26" customFormat="1" ht="12.75">
      <c r="A156" s="81">
        <f t="shared" si="14"/>
        <v>139</v>
      </c>
      <c r="B156" s="74" t="s">
        <v>187</v>
      </c>
      <c r="C156" s="75" t="s">
        <v>37</v>
      </c>
      <c r="D156" s="76"/>
      <c r="E156" s="87">
        <v>17.65</v>
      </c>
      <c r="F156" s="83">
        <f t="shared" si="20"/>
        <v>0</v>
      </c>
      <c r="G156" s="84" t="str">
        <f t="shared" si="15"/>
        <v>sqft</v>
      </c>
      <c r="H156" s="85">
        <f t="shared" si="16"/>
        <v>17.65</v>
      </c>
    </row>
    <row r="157" spans="1:8" s="26" customFormat="1" ht="12.75">
      <c r="A157" s="81">
        <f t="shared" si="14"/>
        <v>140</v>
      </c>
      <c r="B157" s="74" t="s">
        <v>188</v>
      </c>
      <c r="C157" s="75" t="s">
        <v>37</v>
      </c>
      <c r="D157" s="76"/>
      <c r="E157" s="87">
        <v>17.75</v>
      </c>
      <c r="F157" s="83">
        <f t="shared" si="20"/>
        <v>0</v>
      </c>
      <c r="G157" s="84" t="str">
        <f t="shared" si="15"/>
        <v>sqft</v>
      </c>
      <c r="H157" s="85">
        <f t="shared" si="16"/>
        <v>17.75</v>
      </c>
    </row>
    <row r="158" spans="1:8" s="26" customFormat="1" ht="12.75">
      <c r="A158" s="81">
        <f t="shared" si="14"/>
        <v>141</v>
      </c>
      <c r="B158" s="74" t="s">
        <v>189</v>
      </c>
      <c r="C158" s="75" t="s">
        <v>37</v>
      </c>
      <c r="D158" s="76"/>
      <c r="E158" s="87">
        <v>21.85</v>
      </c>
      <c r="F158" s="83">
        <f t="shared" si="20"/>
        <v>0</v>
      </c>
      <c r="G158" s="84" t="str">
        <f t="shared" si="15"/>
        <v>sqft</v>
      </c>
      <c r="H158" s="85">
        <f t="shared" si="16"/>
        <v>21.85</v>
      </c>
    </row>
    <row r="159" spans="1:8" s="26" customFormat="1" ht="12.75">
      <c r="A159" s="81">
        <f t="shared" si="14"/>
        <v>142</v>
      </c>
      <c r="B159" s="74" t="s">
        <v>190</v>
      </c>
      <c r="C159" s="75" t="s">
        <v>37</v>
      </c>
      <c r="D159" s="76"/>
      <c r="E159" s="87">
        <v>15.6</v>
      </c>
      <c r="F159" s="83">
        <f t="shared" si="20"/>
        <v>0</v>
      </c>
      <c r="G159" s="84" t="str">
        <f t="shared" si="15"/>
        <v>sqft</v>
      </c>
      <c r="H159" s="85">
        <f t="shared" si="16"/>
        <v>15.6</v>
      </c>
    </row>
    <row r="160" spans="1:8" s="26" customFormat="1" ht="12.75">
      <c r="A160" s="81">
        <f t="shared" si="14"/>
        <v>143</v>
      </c>
      <c r="B160" s="74" t="s">
        <v>191</v>
      </c>
      <c r="C160" s="75" t="s">
        <v>37</v>
      </c>
      <c r="D160" s="76"/>
      <c r="E160" s="87">
        <v>16.05</v>
      </c>
      <c r="F160" s="83">
        <f t="shared" si="20"/>
        <v>0</v>
      </c>
      <c r="G160" s="84" t="str">
        <f t="shared" si="15"/>
        <v>sqft</v>
      </c>
      <c r="H160" s="85">
        <f t="shared" si="16"/>
        <v>16.05</v>
      </c>
    </row>
    <row r="161" spans="1:9" s="26" customFormat="1" ht="12.75">
      <c r="A161" s="81">
        <f t="shared" si="14"/>
        <v>144</v>
      </c>
      <c r="B161" s="74" t="s">
        <v>192</v>
      </c>
      <c r="C161" s="75" t="s">
        <v>35</v>
      </c>
      <c r="D161" s="76"/>
      <c r="E161" s="87">
        <v>580</v>
      </c>
      <c r="F161" s="83">
        <f t="shared" si="20"/>
        <v>0</v>
      </c>
      <c r="G161" s="84" t="str">
        <f t="shared" si="15"/>
        <v>ls</v>
      </c>
      <c r="H161" s="85">
        <f t="shared" si="16"/>
        <v>580</v>
      </c>
      <c r="I161" s="26" t="s">
        <v>273</v>
      </c>
    </row>
    <row r="162" spans="1:8" s="26" customFormat="1" ht="12.75">
      <c r="A162" s="81">
        <f t="shared" si="14"/>
        <v>145</v>
      </c>
      <c r="B162" s="74" t="s">
        <v>193</v>
      </c>
      <c r="C162" s="75" t="s">
        <v>35</v>
      </c>
      <c r="D162" s="76"/>
      <c r="E162" s="87">
        <v>1090</v>
      </c>
      <c r="F162" s="83">
        <f t="shared" si="20"/>
        <v>0</v>
      </c>
      <c r="G162" s="84" t="str">
        <f t="shared" si="15"/>
        <v>ls</v>
      </c>
      <c r="H162" s="85">
        <f t="shared" si="16"/>
        <v>1090</v>
      </c>
    </row>
    <row r="163" spans="1:8" s="26" customFormat="1" ht="12.75">
      <c r="A163" s="81">
        <f t="shared" si="14"/>
        <v>146</v>
      </c>
      <c r="B163" s="74" t="s">
        <v>194</v>
      </c>
      <c r="C163" s="75" t="s">
        <v>35</v>
      </c>
      <c r="D163" s="76"/>
      <c r="E163" s="87">
        <v>270</v>
      </c>
      <c r="F163" s="83">
        <f>D163*E163</f>
        <v>0</v>
      </c>
      <c r="G163" s="84"/>
      <c r="H163" s="85"/>
    </row>
    <row r="164" spans="1:8" s="26" customFormat="1" ht="12.75">
      <c r="A164" s="81">
        <f t="shared" si="14"/>
        <v>147</v>
      </c>
      <c r="B164" s="74" t="s">
        <v>195</v>
      </c>
      <c r="C164" s="75" t="s">
        <v>35</v>
      </c>
      <c r="D164" s="76"/>
      <c r="E164" s="87">
        <v>690</v>
      </c>
      <c r="F164" s="83">
        <f t="shared" si="20"/>
        <v>0</v>
      </c>
      <c r="G164" s="84" t="str">
        <f t="shared" si="15"/>
        <v>ls</v>
      </c>
      <c r="H164" s="85">
        <f t="shared" si="16"/>
        <v>690</v>
      </c>
    </row>
    <row r="165" spans="1:8" s="26" customFormat="1" ht="12.75">
      <c r="A165" s="81">
        <f t="shared" si="14"/>
        <v>148</v>
      </c>
      <c r="B165" s="74" t="s">
        <v>196</v>
      </c>
      <c r="C165" s="75" t="s">
        <v>35</v>
      </c>
      <c r="D165" s="76"/>
      <c r="E165" s="87">
        <v>2905</v>
      </c>
      <c r="F165" s="83">
        <f t="shared" si="20"/>
        <v>0</v>
      </c>
      <c r="G165" s="84" t="str">
        <f t="shared" si="15"/>
        <v>ls</v>
      </c>
      <c r="H165" s="85">
        <f t="shared" si="16"/>
        <v>2905</v>
      </c>
    </row>
    <row r="166" spans="1:8" s="26" customFormat="1" ht="12.75">
      <c r="A166" s="81">
        <f t="shared" si="14"/>
        <v>149</v>
      </c>
      <c r="B166" s="74" t="s">
        <v>197</v>
      </c>
      <c r="C166" s="75" t="s">
        <v>40</v>
      </c>
      <c r="D166" s="76"/>
      <c r="E166" s="87">
        <v>102300</v>
      </c>
      <c r="F166" s="83">
        <f t="shared" si="20"/>
        <v>0</v>
      </c>
      <c r="G166" s="84" t="str">
        <f t="shared" si="15"/>
        <v>each</v>
      </c>
      <c r="H166" s="85">
        <f t="shared" si="16"/>
        <v>102300</v>
      </c>
    </row>
    <row r="167" spans="1:8" s="26" customFormat="1" ht="12.75">
      <c r="A167" s="81">
        <f t="shared" si="14"/>
        <v>150</v>
      </c>
      <c r="B167" s="74" t="s">
        <v>198</v>
      </c>
      <c r="C167" s="75" t="s">
        <v>40</v>
      </c>
      <c r="D167" s="76"/>
      <c r="E167" s="87">
        <v>7100</v>
      </c>
      <c r="F167" s="83">
        <f t="shared" si="20"/>
        <v>0</v>
      </c>
      <c r="G167" s="84" t="str">
        <f t="shared" si="15"/>
        <v>each</v>
      </c>
      <c r="H167" s="85">
        <f t="shared" si="16"/>
        <v>7100</v>
      </c>
    </row>
    <row r="168" spans="1:8" s="26" customFormat="1" ht="12.75">
      <c r="A168" s="81">
        <f t="shared" si="14"/>
        <v>151</v>
      </c>
      <c r="B168" s="74" t="s">
        <v>199</v>
      </c>
      <c r="C168" s="75" t="s">
        <v>40</v>
      </c>
      <c r="D168" s="76"/>
      <c r="E168" s="87">
        <v>6550</v>
      </c>
      <c r="F168" s="83">
        <f t="shared" si="20"/>
        <v>0</v>
      </c>
      <c r="G168" s="84" t="str">
        <f t="shared" si="15"/>
        <v>each</v>
      </c>
      <c r="H168" s="85">
        <f t="shared" si="16"/>
        <v>6550</v>
      </c>
    </row>
    <row r="169" spans="1:8" s="26" customFormat="1" ht="12.75">
      <c r="A169" s="81">
        <f t="shared" si="14"/>
        <v>152</v>
      </c>
      <c r="B169" s="74" t="s">
        <v>200</v>
      </c>
      <c r="C169" s="75" t="s">
        <v>40</v>
      </c>
      <c r="D169" s="76"/>
      <c r="E169" s="87">
        <v>9320</v>
      </c>
      <c r="F169" s="83">
        <f>D169*E169</f>
        <v>0</v>
      </c>
      <c r="G169" s="84"/>
      <c r="H169" s="85"/>
    </row>
    <row r="170" spans="1:9" s="26" customFormat="1" ht="12.75">
      <c r="A170" s="81">
        <f t="shared" si="14"/>
        <v>153</v>
      </c>
      <c r="B170" s="74" t="s">
        <v>201</v>
      </c>
      <c r="C170" s="75" t="s">
        <v>202</v>
      </c>
      <c r="D170" s="76">
        <v>0.4</v>
      </c>
      <c r="E170" s="87">
        <v>1245</v>
      </c>
      <c r="F170" s="83">
        <f>D170*E170</f>
        <v>498</v>
      </c>
      <c r="G170" s="84"/>
      <c r="H170" s="85"/>
      <c r="I170" s="26" t="s">
        <v>274</v>
      </c>
    </row>
    <row r="171" spans="1:8" s="26" customFormat="1" ht="12.75">
      <c r="A171" s="81">
        <f t="shared" si="14"/>
        <v>154</v>
      </c>
      <c r="B171" s="74" t="s">
        <v>203</v>
      </c>
      <c r="C171" s="75" t="s">
        <v>73</v>
      </c>
      <c r="D171" s="76"/>
      <c r="E171" s="87">
        <v>2.7</v>
      </c>
      <c r="F171" s="83" t="s">
        <v>204</v>
      </c>
      <c r="G171" s="84" t="str">
        <f t="shared" si="15"/>
        <v>sqyd</v>
      </c>
      <c r="H171" s="85">
        <f t="shared" si="16"/>
        <v>2.7</v>
      </c>
    </row>
    <row r="172" spans="1:9" s="26" customFormat="1" ht="12.75">
      <c r="A172" s="81">
        <f t="shared" si="14"/>
        <v>155</v>
      </c>
      <c r="B172" s="26" t="s">
        <v>205</v>
      </c>
      <c r="C172" s="75" t="s">
        <v>80</v>
      </c>
      <c r="D172" s="76">
        <v>305</v>
      </c>
      <c r="E172" s="87">
        <v>19.05</v>
      </c>
      <c r="F172" s="83">
        <f>D172*E172</f>
        <v>5810.25</v>
      </c>
      <c r="G172" s="84"/>
      <c r="H172" s="85"/>
      <c r="I172" s="26" t="s">
        <v>275</v>
      </c>
    </row>
    <row r="173" spans="1:8" s="26" customFormat="1" ht="12.75">
      <c r="A173" s="81">
        <f t="shared" si="14"/>
        <v>156</v>
      </c>
      <c r="B173" s="26" t="s">
        <v>206</v>
      </c>
      <c r="C173" s="75" t="s">
        <v>80</v>
      </c>
      <c r="D173" s="76"/>
      <c r="E173" s="87">
        <v>21.5</v>
      </c>
      <c r="F173" s="83">
        <f>D173*E173</f>
        <v>0</v>
      </c>
      <c r="G173" s="84"/>
      <c r="H173" s="85"/>
    </row>
    <row r="174" spans="1:9" s="26" customFormat="1" ht="12.75">
      <c r="A174" s="81">
        <f t="shared" si="14"/>
        <v>157</v>
      </c>
      <c r="B174" s="74" t="s">
        <v>207</v>
      </c>
      <c r="C174" s="75" t="s">
        <v>40</v>
      </c>
      <c r="D174" s="76">
        <v>56</v>
      </c>
      <c r="E174" s="87">
        <v>288</v>
      </c>
      <c r="F174" s="83">
        <f t="shared" si="20"/>
        <v>16128</v>
      </c>
      <c r="G174" s="84" t="str">
        <f t="shared" si="15"/>
        <v>each</v>
      </c>
      <c r="H174" s="85">
        <f t="shared" si="16"/>
        <v>288</v>
      </c>
      <c r="I174" s="26" t="s">
        <v>276</v>
      </c>
    </row>
    <row r="175" spans="1:8" s="26" customFormat="1" ht="12.75">
      <c r="A175" s="81">
        <f t="shared" si="14"/>
        <v>158</v>
      </c>
      <c r="B175" s="74" t="s">
        <v>209</v>
      </c>
      <c r="C175" s="75" t="s">
        <v>40</v>
      </c>
      <c r="D175" s="76"/>
      <c r="E175" s="87">
        <v>315</v>
      </c>
      <c r="F175" s="83">
        <f>D175*E175</f>
        <v>0</v>
      </c>
      <c r="G175" s="84"/>
      <c r="H175" s="85"/>
    </row>
    <row r="176" spans="1:8" s="26" customFormat="1" ht="12.75">
      <c r="A176" s="81">
        <f t="shared" si="14"/>
        <v>159</v>
      </c>
      <c r="B176" s="74" t="s">
        <v>210</v>
      </c>
      <c r="C176" s="75" t="s">
        <v>40</v>
      </c>
      <c r="D176" s="76"/>
      <c r="E176" s="87">
        <v>5.75</v>
      </c>
      <c r="F176" s="83">
        <f t="shared" si="20"/>
        <v>0</v>
      </c>
      <c r="G176" s="84" t="str">
        <f t="shared" si="15"/>
        <v>each</v>
      </c>
      <c r="H176" s="85">
        <f t="shared" si="16"/>
        <v>5.75</v>
      </c>
    </row>
    <row r="177" spans="1:8" s="26" customFormat="1" ht="12.75">
      <c r="A177" s="81">
        <f t="shared" si="14"/>
        <v>160</v>
      </c>
      <c r="B177" s="74" t="s">
        <v>211</v>
      </c>
      <c r="C177" s="75" t="s">
        <v>40</v>
      </c>
      <c r="D177" s="76"/>
      <c r="E177" s="87">
        <v>4.1</v>
      </c>
      <c r="F177" s="83">
        <f t="shared" si="20"/>
        <v>0</v>
      </c>
      <c r="G177" s="84" t="str">
        <f t="shared" si="15"/>
        <v>each</v>
      </c>
      <c r="H177" s="85">
        <f t="shared" si="16"/>
        <v>4.1</v>
      </c>
    </row>
    <row r="178" spans="1:8" s="26" customFormat="1" ht="12.75">
      <c r="A178" s="81">
        <f t="shared" si="14"/>
        <v>161</v>
      </c>
      <c r="B178" s="26" t="s">
        <v>212</v>
      </c>
      <c r="C178" s="90" t="s">
        <v>73</v>
      </c>
      <c r="D178" s="76"/>
      <c r="E178" s="87">
        <v>8.2</v>
      </c>
      <c r="F178" s="83">
        <f>D178*E178</f>
        <v>0</v>
      </c>
      <c r="G178" s="84" t="str">
        <f>IF(C173="mg","ton",IF(C173="kl","kgal",IF(C173="m3","cy",IF(C173="m2","sy",IF(C173="m","lf",IF(C173="m3","cy",C173))))))</f>
        <v>cuyd</v>
      </c>
      <c r="H178" s="85">
        <f>IF(C173="mg",E173*0.9071847,IF(C173="kl",E173*3.785412,IF(C173="m3",E173*0.7645549,IF(C173="M2",E173*0.8361274,IF(C173="m",E173*0.3048,E173)))))</f>
        <v>21.5</v>
      </c>
    </row>
    <row r="179" spans="1:9" s="26" customFormat="1" ht="12.75">
      <c r="A179" s="81">
        <f t="shared" si="14"/>
        <v>162</v>
      </c>
      <c r="B179" s="26" t="s">
        <v>213</v>
      </c>
      <c r="C179" s="75" t="s">
        <v>80</v>
      </c>
      <c r="D179" s="76">
        <v>85</v>
      </c>
      <c r="E179" s="87">
        <v>25.3</v>
      </c>
      <c r="F179" s="83">
        <f t="shared" si="20"/>
        <v>2150.5</v>
      </c>
      <c r="G179" s="84" t="str">
        <f t="shared" si="15"/>
        <v>cuyd</v>
      </c>
      <c r="H179" s="85">
        <f t="shared" si="16"/>
        <v>25.3</v>
      </c>
      <c r="I179" s="26" t="s">
        <v>277</v>
      </c>
    </row>
    <row r="180" spans="1:8" s="26" customFormat="1" ht="12.75">
      <c r="A180" s="81">
        <f t="shared" si="14"/>
        <v>163</v>
      </c>
      <c r="B180" s="26" t="s">
        <v>215</v>
      </c>
      <c r="C180" s="75" t="s">
        <v>35</v>
      </c>
      <c r="D180" s="76">
        <v>1</v>
      </c>
      <c r="E180" s="87">
        <v>5600</v>
      </c>
      <c r="F180" s="83">
        <f aca="true" t="shared" si="21" ref="F180:F187">D180*E180</f>
        <v>5600</v>
      </c>
      <c r="G180" s="84"/>
      <c r="H180" s="85"/>
    </row>
    <row r="181" spans="1:8" s="26" customFormat="1" ht="12.75">
      <c r="A181" s="81">
        <f t="shared" si="14"/>
        <v>164</v>
      </c>
      <c r="B181" s="26" t="s">
        <v>216</v>
      </c>
      <c r="C181" s="75" t="s">
        <v>217</v>
      </c>
      <c r="D181" s="76"/>
      <c r="E181" s="87">
        <v>0</v>
      </c>
      <c r="F181" s="83">
        <f t="shared" si="21"/>
        <v>0</v>
      </c>
      <c r="G181" s="84"/>
      <c r="H181" s="85"/>
    </row>
    <row r="182" spans="1:8" s="26" customFormat="1" ht="12.75">
      <c r="A182" s="81">
        <f aca="true" t="shared" si="22" ref="A182:A187">A181+1</f>
        <v>165</v>
      </c>
      <c r="B182" s="74" t="s">
        <v>218</v>
      </c>
      <c r="C182" s="75" t="s">
        <v>40</v>
      </c>
      <c r="D182" s="76"/>
      <c r="E182" s="87">
        <v>875</v>
      </c>
      <c r="F182" s="83">
        <f t="shared" si="21"/>
        <v>0</v>
      </c>
      <c r="G182" s="84"/>
      <c r="H182" s="85"/>
    </row>
    <row r="183" spans="1:8" s="26" customFormat="1" ht="12.75">
      <c r="A183" s="81">
        <f t="shared" si="22"/>
        <v>166</v>
      </c>
      <c r="B183" s="26" t="s">
        <v>219</v>
      </c>
      <c r="C183" s="90" t="s">
        <v>35</v>
      </c>
      <c r="D183" s="76"/>
      <c r="E183" s="87">
        <v>0</v>
      </c>
      <c r="F183" s="83">
        <f t="shared" si="21"/>
        <v>0</v>
      </c>
      <c r="G183" s="84" t="str">
        <f>IF(C182="mg","ton",IF(C182="kl","kgal",IF(C182="m3","cy",IF(C182="m2","sy",IF(C182="m","lf",IF(C182="m3","cy",C182))))))</f>
        <v>each</v>
      </c>
      <c r="H183" s="85">
        <f>IF(C182="mg",E182*0.9071847,IF(C182="kl",E182*3.785412,IF(C182="m3",E182*0.7645549,IF(C182="M2",E182*0.8361274,IF(C182="m",E182*0.3048,E182)))))</f>
        <v>875</v>
      </c>
    </row>
    <row r="184" spans="1:8" s="26" customFormat="1" ht="12.75">
      <c r="A184" s="81">
        <f t="shared" si="22"/>
        <v>167</v>
      </c>
      <c r="B184" s="26" t="s">
        <v>220</v>
      </c>
      <c r="C184" s="90" t="s">
        <v>42</v>
      </c>
      <c r="D184" s="76"/>
      <c r="E184" s="87">
        <v>38.6</v>
      </c>
      <c r="F184" s="83">
        <f t="shared" si="21"/>
        <v>0</v>
      </c>
      <c r="G184" s="84" t="e">
        <f>IF(#REF!="mg","ton",IF(#REF!="kl","kgal",IF(#REF!="m3","cy",IF(#REF!="m2","sy",IF(#REF!="m","lf",IF(#REF!="m3","cy",#REF!))))))</f>
        <v>#REF!</v>
      </c>
      <c r="H184" s="85" t="e">
        <f>IF(#REF!="mg",#REF!*0.9071847,IF(#REF!="kl",#REF!*3.785412,IF(#REF!="m3",#REF!*0.7645549,IF(#REF!="M2",#REF!*0.8361274,IF(#REF!="m",#REF!*0.3048,#REF!)))))</f>
        <v>#REF!</v>
      </c>
    </row>
    <row r="185" spans="1:8" s="26" customFormat="1" ht="12.75">
      <c r="A185" s="81">
        <f t="shared" si="22"/>
        <v>168</v>
      </c>
      <c r="B185" s="26" t="s">
        <v>221</v>
      </c>
      <c r="C185" s="90" t="s">
        <v>40</v>
      </c>
      <c r="D185" s="76"/>
      <c r="E185" s="87">
        <v>2250</v>
      </c>
      <c r="F185" s="83">
        <f t="shared" si="21"/>
        <v>0</v>
      </c>
      <c r="G185" s="84" t="e">
        <f>IF(#REF!="mg","ton",IF(#REF!="kl","kgal",IF(#REF!="m3","cy",IF(#REF!="m2","sy",IF(#REF!="m","lf",IF(#REF!="m3","cy",#REF!))))))</f>
        <v>#REF!</v>
      </c>
      <c r="H185" s="85" t="e">
        <f>IF(#REF!="mg",#REF!*0.9071847,IF(#REF!="kl",#REF!*3.785412,IF(#REF!="m3",#REF!*0.7645549,IF(#REF!="M2",#REF!*0.8361274,IF(#REF!="m",#REF!*0.3048,#REF!)))))</f>
        <v>#REF!</v>
      </c>
    </row>
    <row r="186" spans="1:8" s="26" customFormat="1" ht="12.75">
      <c r="A186" s="81">
        <f t="shared" si="22"/>
        <v>169</v>
      </c>
      <c r="B186" s="26" t="s">
        <v>222</v>
      </c>
      <c r="C186" s="90" t="s">
        <v>40</v>
      </c>
      <c r="D186" s="76"/>
      <c r="E186" s="87">
        <v>860</v>
      </c>
      <c r="F186" s="83">
        <f t="shared" si="21"/>
        <v>0</v>
      </c>
      <c r="G186" s="84" t="e">
        <f>IF(#REF!="mg","ton",IF(#REF!="kl","kgal",IF(#REF!="m3","cy",IF(#REF!="m2","sy",IF(#REF!="m","lf",IF(#REF!="m3","cy",#REF!))))))</f>
        <v>#REF!</v>
      </c>
      <c r="H186" s="85" t="e">
        <f>IF(#REF!="mg",#REF!*0.9071847,IF(#REF!="kl",#REF!*3.785412,IF(#REF!="m3",#REF!*0.7645549,IF(#REF!="M2",#REF!*0.8361274,IF(#REF!="m",#REF!*0.3048,#REF!)))))</f>
        <v>#REF!</v>
      </c>
    </row>
    <row r="187" spans="1:9" ht="12.75" customHeight="1">
      <c r="A187" s="81">
        <f t="shared" si="22"/>
        <v>170</v>
      </c>
      <c r="B187" s="7" t="s">
        <v>278</v>
      </c>
      <c r="C187" s="60" t="s">
        <v>35</v>
      </c>
      <c r="D187" s="113">
        <v>1</v>
      </c>
      <c r="E187" s="106">
        <v>135000</v>
      </c>
      <c r="F187" s="106">
        <f t="shared" si="21"/>
        <v>135000</v>
      </c>
      <c r="G187" s="107"/>
      <c r="H187" s="25"/>
      <c r="I187" s="8" t="s">
        <v>279</v>
      </c>
    </row>
    <row r="188" spans="2:8" ht="12.75" customHeight="1">
      <c r="B188" s="7"/>
      <c r="D188" s="113"/>
      <c r="E188" s="106"/>
      <c r="F188" s="106"/>
      <c r="G188" s="107"/>
      <c r="H188" s="25"/>
    </row>
    <row r="189" spans="1:7" ht="12.75">
      <c r="A189" s="105" t="s">
        <v>223</v>
      </c>
      <c r="B189" s="105"/>
      <c r="F189" s="106">
        <f>SUM(F16:F188)</f>
        <v>731560.5</v>
      </c>
      <c r="G189" s="107"/>
    </row>
    <row r="190" spans="1:7" ht="12.75">
      <c r="A190" s="105"/>
      <c r="B190" s="105"/>
      <c r="F190" s="108"/>
      <c r="G190" s="107"/>
    </row>
    <row r="191" spans="1:7" ht="12.75">
      <c r="A191" s="272" t="s">
        <v>224</v>
      </c>
      <c r="B191" s="272"/>
      <c r="C191" s="272"/>
      <c r="D191" s="272"/>
      <c r="E191" s="272"/>
      <c r="F191" s="272"/>
      <c r="G191" s="109"/>
    </row>
    <row r="192" spans="1:7" ht="12.75">
      <c r="A192" s="69"/>
      <c r="B192" s="69"/>
      <c r="C192" s="70"/>
      <c r="D192" s="110"/>
      <c r="E192" s="110"/>
      <c r="F192" s="110"/>
      <c r="G192" s="109"/>
    </row>
    <row r="193" spans="1:6" ht="14.25" customHeight="1">
      <c r="A193" s="72" t="s">
        <v>28</v>
      </c>
      <c r="B193" s="8" t="s">
        <v>29</v>
      </c>
      <c r="C193" s="60" t="s">
        <v>30</v>
      </c>
      <c r="D193" s="72" t="s">
        <v>31</v>
      </c>
      <c r="E193" s="72" t="s">
        <v>32</v>
      </c>
      <c r="F193" s="72" t="s">
        <v>33</v>
      </c>
    </row>
    <row r="194" spans="1:8" ht="12.75">
      <c r="A194" s="62">
        <f>1+A187</f>
        <v>171</v>
      </c>
      <c r="B194" s="111" t="s">
        <v>225</v>
      </c>
      <c r="C194" s="60" t="s">
        <v>35</v>
      </c>
      <c r="D194" s="112">
        <v>1</v>
      </c>
      <c r="E194" s="106">
        <v>3000</v>
      </c>
      <c r="F194" s="106">
        <f>D194*E194</f>
        <v>3000</v>
      </c>
      <c r="G194" s="107" t="str">
        <f>IF(C194="mg","ton",IF(C194="kl","kgal",IF(C194="m3","cy",IF(C194="m2","sy",IF(C194="m","lf",IF(C194="m3","cy",C194))))))</f>
        <v>ls</v>
      </c>
      <c r="H194" s="25">
        <f>IF(C194="mg",E194*0.9071847,IF(C194="kl",E194*3.785412,IF(C194="m3",E194*0.7645549,IF(C194="M2",E194*0.8361274,IF(C194="m",E194*0.3048,E194)))))</f>
        <v>3000</v>
      </c>
    </row>
    <row r="195" spans="1:9" ht="12.75">
      <c r="A195" s="62">
        <f>A194+1</f>
        <v>172</v>
      </c>
      <c r="B195" s="111" t="s">
        <v>226</v>
      </c>
      <c r="C195" s="60" t="s">
        <v>40</v>
      </c>
      <c r="D195" s="113">
        <v>1</v>
      </c>
      <c r="E195" s="106">
        <v>7500</v>
      </c>
      <c r="F195" s="106">
        <f aca="true" t="shared" si="23" ref="F195:F202">D195*E195</f>
        <v>7500</v>
      </c>
      <c r="G195" s="107" t="str">
        <f aca="true" t="shared" si="24" ref="G195:G202">IF(C195="mg","ton",IF(C195="kl","kgal",IF(C195="m3","cy",IF(C195="m2","sy",IF(C195="m","lf",IF(C195="m3","cy",C195))))))</f>
        <v>each</v>
      </c>
      <c r="H195" s="25">
        <f aca="true" t="shared" si="25" ref="H195:H202">IF(C195="mg",E195*0.9071847,IF(C195="kl",E195*3.785412,IF(C195="m3",E195*0.7645549,IF(C195="M2",E195*0.8361274,IF(C195="m",E195*0.3048,E195)))))</f>
        <v>7500</v>
      </c>
      <c r="I195" s="8" t="s">
        <v>280</v>
      </c>
    </row>
    <row r="196" spans="1:8" ht="12.75">
      <c r="A196" s="62">
        <f aca="true" t="shared" si="26" ref="A196:A204">A195+1</f>
        <v>173</v>
      </c>
      <c r="B196" s="111" t="s">
        <v>227</v>
      </c>
      <c r="C196" s="60" t="s">
        <v>40</v>
      </c>
      <c r="D196" s="113">
        <v>2</v>
      </c>
      <c r="E196" s="106">
        <v>1000</v>
      </c>
      <c r="F196" s="106">
        <f t="shared" si="23"/>
        <v>2000</v>
      </c>
      <c r="G196" s="107" t="str">
        <f t="shared" si="24"/>
        <v>each</v>
      </c>
      <c r="H196" s="25">
        <f t="shared" si="25"/>
        <v>1000</v>
      </c>
    </row>
    <row r="197" spans="1:9" ht="12.75">
      <c r="A197" s="62">
        <f t="shared" si="26"/>
        <v>174</v>
      </c>
      <c r="B197" s="111" t="s">
        <v>228</v>
      </c>
      <c r="C197" s="60" t="s">
        <v>40</v>
      </c>
      <c r="D197" s="113">
        <v>7</v>
      </c>
      <c r="E197" s="106">
        <v>350</v>
      </c>
      <c r="F197" s="106">
        <f t="shared" si="23"/>
        <v>2450</v>
      </c>
      <c r="G197" s="107" t="str">
        <f t="shared" si="24"/>
        <v>each</v>
      </c>
      <c r="H197" s="25">
        <f t="shared" si="25"/>
        <v>350</v>
      </c>
      <c r="I197" s="8" t="s">
        <v>281</v>
      </c>
    </row>
    <row r="198" spans="1:8" ht="12.75">
      <c r="A198" s="62">
        <f t="shared" si="26"/>
        <v>175</v>
      </c>
      <c r="B198" s="111" t="s">
        <v>229</v>
      </c>
      <c r="C198" s="60" t="s">
        <v>40</v>
      </c>
      <c r="D198" s="113">
        <v>7</v>
      </c>
      <c r="E198" s="106">
        <v>550</v>
      </c>
      <c r="F198" s="106">
        <f t="shared" si="23"/>
        <v>3850</v>
      </c>
      <c r="G198" s="107" t="str">
        <f t="shared" si="24"/>
        <v>each</v>
      </c>
      <c r="H198" s="25">
        <f t="shared" si="25"/>
        <v>550</v>
      </c>
    </row>
    <row r="199" spans="1:8" ht="12.75">
      <c r="A199" s="62">
        <f t="shared" si="26"/>
        <v>176</v>
      </c>
      <c r="B199" s="111" t="s">
        <v>230</v>
      </c>
      <c r="C199" s="60" t="s">
        <v>35</v>
      </c>
      <c r="D199" s="113">
        <v>0</v>
      </c>
      <c r="E199" s="106">
        <v>0</v>
      </c>
      <c r="F199" s="106">
        <f t="shared" si="23"/>
        <v>0</v>
      </c>
      <c r="G199" s="107" t="str">
        <f t="shared" si="24"/>
        <v>ls</v>
      </c>
      <c r="H199" s="25">
        <f t="shared" si="25"/>
        <v>0</v>
      </c>
    </row>
    <row r="200" spans="1:8" ht="12.75">
      <c r="A200" s="62">
        <f t="shared" si="26"/>
        <v>177</v>
      </c>
      <c r="B200" s="111" t="s">
        <v>231</v>
      </c>
      <c r="C200" s="60" t="s">
        <v>35</v>
      </c>
      <c r="D200" s="113">
        <v>0</v>
      </c>
      <c r="E200" s="106">
        <v>0</v>
      </c>
      <c r="F200" s="106">
        <f t="shared" si="23"/>
        <v>0</v>
      </c>
      <c r="G200" s="107" t="str">
        <f t="shared" si="24"/>
        <v>ls</v>
      </c>
      <c r="H200" s="25">
        <f t="shared" si="25"/>
        <v>0</v>
      </c>
    </row>
    <row r="201" spans="1:8" ht="12.75">
      <c r="A201" s="62">
        <f t="shared" si="26"/>
        <v>178</v>
      </c>
      <c r="B201" s="8" t="s">
        <v>232</v>
      </c>
      <c r="C201" s="60" t="s">
        <v>80</v>
      </c>
      <c r="D201" s="113">
        <v>0</v>
      </c>
      <c r="E201" s="106">
        <v>106</v>
      </c>
      <c r="F201" s="106">
        <f t="shared" si="23"/>
        <v>0</v>
      </c>
      <c r="G201" s="107" t="str">
        <f t="shared" si="24"/>
        <v>cuyd</v>
      </c>
      <c r="H201" s="25">
        <f t="shared" si="25"/>
        <v>106</v>
      </c>
    </row>
    <row r="202" spans="1:8" ht="12.75">
      <c r="A202" s="62">
        <f t="shared" si="26"/>
        <v>179</v>
      </c>
      <c r="B202" s="111" t="s">
        <v>233</v>
      </c>
      <c r="C202" s="60" t="s">
        <v>42</v>
      </c>
      <c r="D202" s="113">
        <v>0</v>
      </c>
      <c r="E202" s="106">
        <v>50</v>
      </c>
      <c r="F202" s="106">
        <f t="shared" si="23"/>
        <v>0</v>
      </c>
      <c r="G202" s="107" t="str">
        <f t="shared" si="24"/>
        <v>foot</v>
      </c>
      <c r="H202" s="25">
        <f t="shared" si="25"/>
        <v>50</v>
      </c>
    </row>
    <row r="203" spans="1:8" ht="12.75">
      <c r="A203" s="62">
        <f t="shared" si="26"/>
        <v>180</v>
      </c>
      <c r="B203" s="7" t="s">
        <v>282</v>
      </c>
      <c r="C203" s="60" t="s">
        <v>35</v>
      </c>
      <c r="D203" s="113">
        <v>1</v>
      </c>
      <c r="E203" s="106">
        <v>5000</v>
      </c>
      <c r="F203" s="106">
        <f>D203*E203</f>
        <v>5000</v>
      </c>
      <c r="G203" s="107"/>
      <c r="H203" s="25"/>
    </row>
    <row r="204" spans="1:7" ht="12.75">
      <c r="A204" s="62">
        <f t="shared" si="26"/>
        <v>181</v>
      </c>
      <c r="B204" s="7" t="s">
        <v>235</v>
      </c>
      <c r="C204" s="60" t="s">
        <v>35</v>
      </c>
      <c r="D204" s="113">
        <v>1</v>
      </c>
      <c r="E204" s="106">
        <v>50000</v>
      </c>
      <c r="F204" s="106">
        <f>D204*E204</f>
        <v>50000</v>
      </c>
      <c r="G204" s="107"/>
    </row>
    <row r="205" spans="2:7" ht="12.75">
      <c r="B205" s="7"/>
      <c r="D205" s="113"/>
      <c r="E205" s="106"/>
      <c r="F205" s="106"/>
      <c r="G205" s="107"/>
    </row>
    <row r="206" spans="1:7" ht="12.75">
      <c r="A206" s="105" t="s">
        <v>236</v>
      </c>
      <c r="B206" s="105"/>
      <c r="E206" s="106"/>
      <c r="F206" s="106">
        <f>SUM(F194:F205)</f>
        <v>73800</v>
      </c>
      <c r="G206" s="107"/>
    </row>
    <row r="207" spans="4:7" ht="12.75">
      <c r="D207" s="113"/>
      <c r="E207" s="106"/>
      <c r="F207" s="106"/>
      <c r="G207" s="107"/>
    </row>
    <row r="208" spans="5:6" ht="12.75">
      <c r="E208" s="106"/>
      <c r="F208" s="106"/>
    </row>
    <row r="209" spans="5:6" ht="12.75">
      <c r="E209" s="106"/>
      <c r="F209" s="106"/>
    </row>
    <row r="210" spans="1:7" ht="12.75">
      <c r="A210" s="114" t="s">
        <v>237</v>
      </c>
      <c r="B210" s="114"/>
      <c r="E210" s="106"/>
      <c r="F210" s="106"/>
      <c r="G210" s="8"/>
    </row>
    <row r="211" spans="5:7" ht="12.75">
      <c r="E211" s="106"/>
      <c r="F211" s="106"/>
      <c r="G211" s="8"/>
    </row>
    <row r="212" spans="1:7" ht="12.75">
      <c r="A212" s="62" t="s">
        <v>238</v>
      </c>
      <c r="E212" s="106"/>
      <c r="F212" s="106">
        <f>$F$189</f>
        <v>731560.5</v>
      </c>
      <c r="G212" s="8"/>
    </row>
    <row r="213" spans="1:7" ht="12.75">
      <c r="A213" s="62" t="s">
        <v>239</v>
      </c>
      <c r="E213" s="106"/>
      <c r="F213" s="106">
        <f>$F$206</f>
        <v>73800</v>
      </c>
      <c r="G213" s="8"/>
    </row>
    <row r="214" spans="5:7" ht="12.75">
      <c r="E214" s="106"/>
      <c r="F214" s="106"/>
      <c r="G214" s="8"/>
    </row>
    <row r="215" spans="1:7" ht="12.75">
      <c r="A215" s="62" t="s">
        <v>240</v>
      </c>
      <c r="E215" s="106"/>
      <c r="F215" s="106">
        <f>SUM(F212:F214)</f>
        <v>805360.5</v>
      </c>
      <c r="G215" s="8"/>
    </row>
    <row r="216" spans="1:7" ht="12.75">
      <c r="A216" s="62" t="s">
        <v>241</v>
      </c>
      <c r="E216" s="106"/>
      <c r="F216" s="106">
        <f>ROUND(F215*0.05,-2)</f>
        <v>40300</v>
      </c>
      <c r="G216" s="8"/>
    </row>
    <row r="217" spans="5:7" ht="12.75">
      <c r="E217" s="106"/>
      <c r="F217" s="106"/>
      <c r="G217" s="8"/>
    </row>
    <row r="218" spans="1:7" ht="12.75">
      <c r="A218" s="114" t="s">
        <v>242</v>
      </c>
      <c r="B218" s="115"/>
      <c r="E218" s="106"/>
      <c r="F218" s="116">
        <f>SUM(F215:F217)</f>
        <v>845660.5</v>
      </c>
      <c r="G218" s="8"/>
    </row>
    <row r="219" spans="5:7" ht="12.75">
      <c r="E219" s="106"/>
      <c r="F219" s="106"/>
      <c r="G219" s="8"/>
    </row>
    <row r="220" spans="1:7" ht="12.75">
      <c r="A220" s="62" t="s">
        <v>243</v>
      </c>
      <c r="E220" s="106"/>
      <c r="F220" s="106">
        <f>ROUND(F218*0.05,-2)</f>
        <v>42300</v>
      </c>
      <c r="G220" s="8"/>
    </row>
    <row r="221" spans="1:7" ht="12.75">
      <c r="A221" s="62" t="s">
        <v>244</v>
      </c>
      <c r="E221" s="106"/>
      <c r="F221" s="106">
        <f>ROUND(F218*0.25,-2)</f>
        <v>211400</v>
      </c>
      <c r="G221" s="8"/>
    </row>
    <row r="222" spans="1:7" ht="12.75">
      <c r="A222" s="62" t="s">
        <v>245</v>
      </c>
      <c r="E222" s="106"/>
      <c r="F222" s="106">
        <f>ROUND(F218*0.15,-2)</f>
        <v>126800</v>
      </c>
      <c r="G222" s="8"/>
    </row>
    <row r="223" spans="1:7" ht="12.75">
      <c r="A223" s="62" t="s">
        <v>246</v>
      </c>
      <c r="E223" s="106"/>
      <c r="F223" s="106">
        <v>0</v>
      </c>
      <c r="G223" s="8"/>
    </row>
    <row r="224" spans="1:7" ht="12.75">
      <c r="A224" s="62" t="s">
        <v>247</v>
      </c>
      <c r="E224" s="106"/>
      <c r="F224" s="106">
        <f>F223*0.2</f>
        <v>0</v>
      </c>
      <c r="G224" s="8"/>
    </row>
    <row r="225" spans="5:7" ht="12.75">
      <c r="E225" s="106"/>
      <c r="F225" s="106"/>
      <c r="G225" s="8"/>
    </row>
    <row r="226" spans="1:7" ht="12.75">
      <c r="A226" s="117" t="s">
        <v>248</v>
      </c>
      <c r="E226" s="106"/>
      <c r="F226" s="116">
        <f>SUM(F220:F224)</f>
        <v>380500</v>
      </c>
      <c r="G226" s="8"/>
    </row>
    <row r="227" spans="5:7" ht="12.75">
      <c r="E227" s="106"/>
      <c r="F227" s="106"/>
      <c r="G227" s="8"/>
    </row>
    <row r="228" spans="1:6" s="111" customFormat="1" ht="12.75">
      <c r="A228" s="118" t="s">
        <v>249</v>
      </c>
      <c r="C228" s="60"/>
      <c r="E228" s="77"/>
      <c r="F228" s="77">
        <f>F218+F226</f>
        <v>1226160.5</v>
      </c>
    </row>
    <row r="229" spans="1:7" ht="12.75">
      <c r="A229" s="62" t="s">
        <v>501</v>
      </c>
      <c r="E229" s="106"/>
      <c r="F229" s="188">
        <f>ROUND(F228*0.3,-2)</f>
        <v>367800</v>
      </c>
      <c r="G229" s="8"/>
    </row>
    <row r="230" spans="1:7" ht="12.75">
      <c r="A230" s="62" t="s">
        <v>255</v>
      </c>
      <c r="E230" s="106"/>
      <c r="F230" s="82">
        <v>0</v>
      </c>
      <c r="G230" s="8"/>
    </row>
    <row r="231" spans="5:7" ht="12.75">
      <c r="E231" s="106"/>
      <c r="F231" s="106"/>
      <c r="G231" s="8"/>
    </row>
    <row r="232" spans="1:7" ht="12.75">
      <c r="A232" s="117" t="s">
        <v>250</v>
      </c>
      <c r="E232" s="106"/>
      <c r="F232" s="116">
        <f>SUM(F228:F231)</f>
        <v>1593960.5</v>
      </c>
      <c r="G232" s="8"/>
    </row>
    <row r="234" spans="1:6" ht="12.75">
      <c r="A234" s="117" t="s">
        <v>251</v>
      </c>
      <c r="B234" s="7"/>
      <c r="F234" s="116">
        <v>0</v>
      </c>
    </row>
    <row r="235" spans="1:6" ht="12.75">
      <c r="A235" s="117"/>
      <c r="B235" s="7"/>
      <c r="F235" s="116"/>
    </row>
    <row r="236" spans="1:6" ht="12.75">
      <c r="A236" s="117"/>
      <c r="B236" s="7"/>
      <c r="F236" s="116"/>
    </row>
    <row r="239" ht="20.25">
      <c r="A239" s="125" t="s">
        <v>283</v>
      </c>
    </row>
    <row r="240" ht="12.75" customHeight="1">
      <c r="A240" s="125"/>
    </row>
    <row r="241" spans="1:6" ht="12.75" customHeight="1">
      <c r="A241" s="125"/>
      <c r="B241" s="8" t="s">
        <v>284</v>
      </c>
      <c r="E241" s="77">
        <f>ROUND((SUM(F$243:F$243))*0.08,-2)</f>
        <v>10800</v>
      </c>
      <c r="F241" s="77">
        <f>E241</f>
        <v>10800</v>
      </c>
    </row>
    <row r="242" spans="1:6" ht="12.75" customHeight="1">
      <c r="A242" s="125"/>
      <c r="B242" s="8" t="s">
        <v>285</v>
      </c>
      <c r="E242" s="77">
        <f>ROUND((SUM(F$243:F$243))*0.04,-2)</f>
        <v>5400</v>
      </c>
      <c r="F242" s="77">
        <f>E242</f>
        <v>5400</v>
      </c>
    </row>
    <row r="243" spans="1:6" ht="12.75" customHeight="1">
      <c r="A243" s="125"/>
      <c r="B243" s="7" t="s">
        <v>286</v>
      </c>
      <c r="F243" s="126">
        <v>135000</v>
      </c>
    </row>
    <row r="246" spans="1:7" ht="12.75">
      <c r="A246" s="114" t="s">
        <v>237</v>
      </c>
      <c r="B246" s="114"/>
      <c r="E246" s="106"/>
      <c r="F246" s="106"/>
      <c r="G246" s="8"/>
    </row>
    <row r="247" spans="5:7" ht="12.75">
      <c r="E247" s="106"/>
      <c r="F247" s="106"/>
      <c r="G247" s="8"/>
    </row>
    <row r="248" spans="1:7" ht="12.75">
      <c r="A248" s="62" t="s">
        <v>238</v>
      </c>
      <c r="E248" s="106"/>
      <c r="F248" s="106">
        <f>SUM($F$241:F243)</f>
        <v>151200</v>
      </c>
      <c r="G248" s="8"/>
    </row>
    <row r="249" spans="1:7" ht="12.75">
      <c r="A249" s="62" t="s">
        <v>239</v>
      </c>
      <c r="E249" s="106"/>
      <c r="F249" s="106">
        <v>5000</v>
      </c>
      <c r="G249" s="8"/>
    </row>
    <row r="250" spans="5:7" ht="12.75">
      <c r="E250" s="106"/>
      <c r="F250" s="106"/>
      <c r="G250" s="8"/>
    </row>
    <row r="251" spans="1:7" ht="12.75">
      <c r="A251" s="62" t="s">
        <v>240</v>
      </c>
      <c r="E251" s="106"/>
      <c r="F251" s="106">
        <f>SUM(F248:F250)</f>
        <v>156200</v>
      </c>
      <c r="G251" s="8"/>
    </row>
    <row r="252" spans="1:7" ht="12.75">
      <c r="A252" s="62" t="s">
        <v>241</v>
      </c>
      <c r="E252" s="106"/>
      <c r="F252" s="106">
        <f>ROUND(F251*0.05,-2)</f>
        <v>7800</v>
      </c>
      <c r="G252" s="8"/>
    </row>
    <row r="253" spans="5:7" ht="12.75">
      <c r="E253" s="106"/>
      <c r="F253" s="106"/>
      <c r="G253" s="8"/>
    </row>
    <row r="254" spans="1:7" ht="12.75">
      <c r="A254" s="114" t="s">
        <v>242</v>
      </c>
      <c r="B254" s="115"/>
      <c r="E254" s="106"/>
      <c r="F254" s="126">
        <f>SUM(F251:F253)</f>
        <v>164000</v>
      </c>
      <c r="G254" s="8"/>
    </row>
    <row r="255" spans="5:7" ht="12.75">
      <c r="E255" s="106"/>
      <c r="F255" s="106"/>
      <c r="G255" s="8"/>
    </row>
    <row r="256" spans="1:7" ht="12.75">
      <c r="A256" s="62" t="s">
        <v>243</v>
      </c>
      <c r="E256" s="106"/>
      <c r="F256" s="106">
        <f>ROUND(F254*0.05,-2)</f>
        <v>8200</v>
      </c>
      <c r="G256" s="8"/>
    </row>
    <row r="257" spans="1:7" ht="12.75">
      <c r="A257" s="62" t="s">
        <v>244</v>
      </c>
      <c r="E257" s="106"/>
      <c r="F257" s="106">
        <f>ROUND(F254*0.25,-2)</f>
        <v>41000</v>
      </c>
      <c r="G257" s="8"/>
    </row>
    <row r="258" spans="1:7" ht="12.75">
      <c r="A258" s="62" t="s">
        <v>245</v>
      </c>
      <c r="E258" s="106"/>
      <c r="F258" s="106">
        <f>ROUND(F254*0.15,-2)</f>
        <v>24600</v>
      </c>
      <c r="G258" s="8"/>
    </row>
    <row r="259" spans="1:7" ht="12.75">
      <c r="A259" s="62" t="s">
        <v>246</v>
      </c>
      <c r="E259" s="106"/>
      <c r="F259" s="106">
        <v>0</v>
      </c>
      <c r="G259" s="8"/>
    </row>
    <row r="260" spans="1:7" ht="12.75">
      <c r="A260" s="62" t="s">
        <v>247</v>
      </c>
      <c r="E260" s="106"/>
      <c r="F260" s="106">
        <f>F259*0.2</f>
        <v>0</v>
      </c>
      <c r="G260" s="8"/>
    </row>
    <row r="261" spans="5:7" ht="12.75">
      <c r="E261" s="106"/>
      <c r="F261" s="106"/>
      <c r="G261" s="8"/>
    </row>
    <row r="262" spans="1:7" ht="12.75">
      <c r="A262" s="117" t="s">
        <v>248</v>
      </c>
      <c r="E262" s="106"/>
      <c r="F262" s="116">
        <f>SUM(F256:F260)</f>
        <v>73800</v>
      </c>
      <c r="G262" s="8"/>
    </row>
    <row r="263" spans="5:7" ht="12.75">
      <c r="E263" s="106"/>
      <c r="F263" s="106"/>
      <c r="G263" s="8"/>
    </row>
    <row r="264" spans="1:6" s="111" customFormat="1" ht="12.75">
      <c r="A264" s="118" t="s">
        <v>249</v>
      </c>
      <c r="C264" s="60"/>
      <c r="E264" s="77"/>
      <c r="F264" s="77">
        <f>F254+F262</f>
        <v>237800</v>
      </c>
    </row>
    <row r="265" spans="1:7" ht="12.75">
      <c r="A265" s="62" t="s">
        <v>254</v>
      </c>
      <c r="E265" s="106"/>
      <c r="F265" s="82">
        <f>ROUND(F264*0.2,-2)</f>
        <v>47600</v>
      </c>
      <c r="G265" s="8"/>
    </row>
    <row r="266" spans="1:7" ht="12.75">
      <c r="A266" s="62" t="s">
        <v>255</v>
      </c>
      <c r="E266" s="106"/>
      <c r="F266" s="82">
        <v>0</v>
      </c>
      <c r="G266" s="8"/>
    </row>
    <row r="267" spans="5:7" ht="12.75">
      <c r="E267" s="106"/>
      <c r="F267" s="106"/>
      <c r="G267" s="8"/>
    </row>
    <row r="268" spans="1:7" ht="12.75">
      <c r="A268" s="117" t="s">
        <v>250</v>
      </c>
      <c r="E268" s="106"/>
      <c r="F268" s="116">
        <f>SUM(F264:F267)</f>
        <v>285400</v>
      </c>
      <c r="G268" s="8"/>
    </row>
  </sheetData>
  <mergeCells count="2">
    <mergeCell ref="A13:F13"/>
    <mergeCell ref="A191:F191"/>
  </mergeCells>
  <printOptions gridLines="1" horizontalCentered="1"/>
  <pageMargins left="0.8" right="0.47" top="0.8" bottom="0.7" header="0.5" footer="0.3"/>
  <pageSetup fitToHeight="4" horizontalDpi="600" verticalDpi="600" orientation="portrait" scale="90" r:id="rId2"/>
  <headerFooter alignWithMargins="0">
    <oddHeader>&amp;L&amp;A&amp;RJob No.  _________</oddHeader>
    <oddFooter>&amp;C&amp;P of &amp;N&amp;R&amp;A</oddFooter>
  </headerFooter>
  <drawing r:id="rId1"/>
</worksheet>
</file>

<file path=xl/worksheets/sheet8.xml><?xml version="1.0" encoding="utf-8"?>
<worksheet xmlns="http://schemas.openxmlformats.org/spreadsheetml/2006/main" xmlns:r="http://schemas.openxmlformats.org/officeDocument/2006/relationships">
  <dimension ref="A1:J228"/>
  <sheetViews>
    <sheetView workbookViewId="0" topLeftCell="A1">
      <selection activeCell="A1" sqref="A1"/>
    </sheetView>
  </sheetViews>
  <sheetFormatPr defaultColWidth="9.140625" defaultRowHeight="12.75"/>
  <cols>
    <col min="1" max="1" width="4.421875" style="62" customWidth="1"/>
    <col min="2" max="2" width="40.7109375" style="8" customWidth="1"/>
    <col min="3" max="3" width="6.57421875" style="60" customWidth="1"/>
    <col min="4" max="4" width="16.57421875" style="8" customWidth="1"/>
    <col min="5" max="5" width="13.7109375" style="8" customWidth="1"/>
    <col min="6" max="6" width="18.28125" style="8" customWidth="1"/>
    <col min="7" max="7" width="7.140625" style="72" hidden="1" customWidth="1"/>
    <col min="8" max="8" width="12.140625" style="8" hidden="1" customWidth="1"/>
    <col min="9" max="9" width="29.140625" style="8" customWidth="1"/>
    <col min="10" max="10" width="10.421875" style="8" customWidth="1"/>
    <col min="11" max="16384" width="9.140625" style="8" customWidth="1"/>
  </cols>
  <sheetData>
    <row r="1" spans="1:7" ht="14.25" customHeight="1">
      <c r="A1" s="8"/>
      <c r="F1" s="61"/>
      <c r="G1" s="8"/>
    </row>
    <row r="2" spans="3:7" ht="14.25" customHeight="1">
      <c r="C2" s="63" t="s">
        <v>23</v>
      </c>
      <c r="D2" s="63"/>
      <c r="E2" s="64"/>
      <c r="F2" s="64"/>
      <c r="G2" s="8"/>
    </row>
    <row r="3" spans="3:7" ht="14.25" customHeight="1">
      <c r="C3" s="63" t="s">
        <v>24</v>
      </c>
      <c r="D3" s="63"/>
      <c r="E3" s="64"/>
      <c r="F3" s="64"/>
      <c r="G3" s="8"/>
    </row>
    <row r="4" spans="3:7" ht="14.25" customHeight="1">
      <c r="C4" s="63" t="s">
        <v>25</v>
      </c>
      <c r="D4" s="63"/>
      <c r="E4" s="64"/>
      <c r="F4" s="64"/>
      <c r="G4" s="8"/>
    </row>
    <row r="5" spans="3:7" ht="14.25" customHeight="1">
      <c r="C5" s="63" t="s">
        <v>26</v>
      </c>
      <c r="D5" s="63"/>
      <c r="E5" s="64"/>
      <c r="F5" s="64"/>
      <c r="G5" s="8"/>
    </row>
    <row r="6" spans="1:7" ht="14.25" customHeight="1">
      <c r="A6" s="65"/>
      <c r="B6" s="65"/>
      <c r="C6" s="66"/>
      <c r="D6" s="64"/>
      <c r="E6" s="64"/>
      <c r="F6" s="64"/>
      <c r="G6" s="8"/>
    </row>
    <row r="7" spans="1:7" ht="14.25" customHeight="1">
      <c r="A7" s="65"/>
      <c r="B7" s="65"/>
      <c r="C7" s="66"/>
      <c r="D7" s="64"/>
      <c r="E7" s="64"/>
      <c r="F7" s="64"/>
      <c r="G7" s="8"/>
    </row>
    <row r="8" spans="1:7" ht="14.25" customHeight="1">
      <c r="A8" s="65"/>
      <c r="B8" s="65"/>
      <c r="C8" s="66"/>
      <c r="D8" s="64"/>
      <c r="E8" s="64"/>
      <c r="F8" s="64"/>
      <c r="G8" s="8"/>
    </row>
    <row r="9" spans="1:7" ht="14.25" customHeight="1">
      <c r="A9" s="65"/>
      <c r="B9" s="65"/>
      <c r="C9" s="66"/>
      <c r="D9" s="64"/>
      <c r="E9" s="64"/>
      <c r="F9" s="64"/>
      <c r="G9" s="8"/>
    </row>
    <row r="10" spans="1:7" ht="14.25" customHeight="1">
      <c r="A10" s="65"/>
      <c r="B10" s="65"/>
      <c r="C10" s="66"/>
      <c r="D10" s="64"/>
      <c r="E10" s="64"/>
      <c r="F10" s="64"/>
      <c r="G10" s="8"/>
    </row>
    <row r="11" spans="1:7" ht="14.25" customHeight="1">
      <c r="A11" s="65"/>
      <c r="B11" s="65"/>
      <c r="C11" s="66"/>
      <c r="D11" s="64"/>
      <c r="E11" s="64"/>
      <c r="F11" s="64"/>
      <c r="G11" s="8"/>
    </row>
    <row r="12" spans="1:7" ht="14.25" customHeight="1">
      <c r="A12" s="67"/>
      <c r="B12" s="67"/>
      <c r="C12" s="66"/>
      <c r="D12" s="68"/>
      <c r="E12" s="68"/>
      <c r="F12" s="68"/>
      <c r="G12" s="8"/>
    </row>
    <row r="13" spans="1:7" ht="14.25" customHeight="1">
      <c r="A13" s="246" t="s">
        <v>27</v>
      </c>
      <c r="B13" s="246"/>
      <c r="C13" s="246"/>
      <c r="D13" s="246"/>
      <c r="E13" s="246"/>
      <c r="F13" s="246"/>
      <c r="G13" s="8"/>
    </row>
    <row r="14" spans="1:7" ht="14.25" customHeight="1">
      <c r="A14" s="69"/>
      <c r="B14" s="69"/>
      <c r="C14" s="70"/>
      <c r="D14" s="71"/>
      <c r="E14" s="71"/>
      <c r="F14" s="71"/>
      <c r="G14" s="8"/>
    </row>
    <row r="15" spans="1:6" ht="14.25" customHeight="1">
      <c r="A15" s="72" t="s">
        <v>28</v>
      </c>
      <c r="B15" s="8" t="s">
        <v>29</v>
      </c>
      <c r="C15" s="60" t="s">
        <v>30</v>
      </c>
      <c r="D15" s="72" t="s">
        <v>31</v>
      </c>
      <c r="E15" s="72" t="s">
        <v>32</v>
      </c>
      <c r="F15" s="72" t="s">
        <v>33</v>
      </c>
    </row>
    <row r="16" spans="1:10" s="74" customFormat="1" ht="12.75">
      <c r="A16" s="73">
        <v>1</v>
      </c>
      <c r="B16" s="74" t="s">
        <v>34</v>
      </c>
      <c r="C16" s="75" t="s">
        <v>35</v>
      </c>
      <c r="D16" s="76">
        <v>1</v>
      </c>
      <c r="E16" s="77">
        <f>ROUND((SUM(F$18:F$41)+SUM(F$43:F$182))*0.08,-2)</f>
        <v>4700</v>
      </c>
      <c r="F16" s="78">
        <f aca="true" t="shared" si="0" ref="F16:F47">D16*E16</f>
        <v>4700</v>
      </c>
      <c r="G16" s="24" t="str">
        <f aca="true" t="shared" si="1" ref="G16:G21">IF(C16="mg","ton",IF(C16="kl","kgal",IF(C16="m3","cy",IF(C16="m2","sy",IF(C16="m","lf",IF(C16="m3","cy",C16))))))</f>
        <v>ls</v>
      </c>
      <c r="H16" s="79">
        <f aca="true" t="shared" si="2" ref="H16:H21">IF(C16="mg",E16*0.9071847,IF(C16="kl",E16*3.785412,IF(C16="m3",E16*0.7645549,IF(C16="M2",E16*0.8361274,IF(C16="m",E16*0.3048,E16)))))</f>
        <v>4700</v>
      </c>
      <c r="J16" s="80">
        <v>1</v>
      </c>
    </row>
    <row r="17" spans="1:10" s="26" customFormat="1" ht="12.75">
      <c r="A17" s="81">
        <f aca="true" t="shared" si="3" ref="A17:A24">A16+1</f>
        <v>2</v>
      </c>
      <c r="B17" s="74" t="s">
        <v>252</v>
      </c>
      <c r="C17" s="75" t="s">
        <v>35</v>
      </c>
      <c r="D17" s="76">
        <v>1</v>
      </c>
      <c r="E17" s="82">
        <f>ROUND((SUM(F$18:F$41)+SUM(F$43:F$182))*0.04,-2)</f>
        <v>2400</v>
      </c>
      <c r="F17" s="83">
        <f t="shared" si="0"/>
        <v>2400</v>
      </c>
      <c r="G17" s="84" t="str">
        <f t="shared" si="1"/>
        <v>ls</v>
      </c>
      <c r="H17" s="85">
        <f t="shared" si="2"/>
        <v>2400</v>
      </c>
      <c r="J17" s="86">
        <v>1</v>
      </c>
    </row>
    <row r="18" spans="1:10" s="26" customFormat="1" ht="12.75" customHeight="1">
      <c r="A18" s="81">
        <f t="shared" si="3"/>
        <v>3</v>
      </c>
      <c r="B18" s="74" t="s">
        <v>36</v>
      </c>
      <c r="C18" s="75" t="s">
        <v>37</v>
      </c>
      <c r="D18" s="76">
        <v>54</v>
      </c>
      <c r="E18" s="87">
        <v>17.25</v>
      </c>
      <c r="F18" s="83">
        <f t="shared" si="0"/>
        <v>931.5</v>
      </c>
      <c r="G18" s="84" t="str">
        <f t="shared" si="1"/>
        <v>sqft</v>
      </c>
      <c r="H18" s="85">
        <f t="shared" si="2"/>
        <v>17.25</v>
      </c>
      <c r="I18" s="26" t="s">
        <v>38</v>
      </c>
      <c r="J18" s="88">
        <v>20</v>
      </c>
    </row>
    <row r="19" spans="1:10" s="26" customFormat="1" ht="12.75">
      <c r="A19" s="81">
        <f t="shared" si="3"/>
        <v>4</v>
      </c>
      <c r="B19" s="74" t="s">
        <v>39</v>
      </c>
      <c r="C19" s="75" t="s">
        <v>40</v>
      </c>
      <c r="D19" s="76">
        <v>6</v>
      </c>
      <c r="E19" s="87">
        <v>140</v>
      </c>
      <c r="F19" s="83">
        <f t="shared" si="0"/>
        <v>840</v>
      </c>
      <c r="G19" s="84" t="str">
        <f t="shared" si="1"/>
        <v>each</v>
      </c>
      <c r="H19" s="85">
        <f t="shared" si="2"/>
        <v>140</v>
      </c>
      <c r="J19" s="88">
        <v>6</v>
      </c>
    </row>
    <row r="20" spans="1:10" s="26" customFormat="1" ht="12.75">
      <c r="A20" s="81">
        <f t="shared" si="3"/>
        <v>5</v>
      </c>
      <c r="B20" s="74" t="s">
        <v>41</v>
      </c>
      <c r="C20" s="75" t="s">
        <v>42</v>
      </c>
      <c r="D20" s="76"/>
      <c r="E20" s="87">
        <v>14.4</v>
      </c>
      <c r="F20" s="83">
        <f t="shared" si="0"/>
        <v>0</v>
      </c>
      <c r="G20" s="84" t="str">
        <f t="shared" si="1"/>
        <v>foot</v>
      </c>
      <c r="H20" s="85">
        <f t="shared" si="2"/>
        <v>14.4</v>
      </c>
      <c r="J20" s="88"/>
    </row>
    <row r="21" spans="1:10" s="26" customFormat="1" ht="12.75">
      <c r="A21" s="81">
        <f t="shared" si="3"/>
        <v>6</v>
      </c>
      <c r="B21" s="74" t="s">
        <v>43</v>
      </c>
      <c r="C21" s="75" t="s">
        <v>42</v>
      </c>
      <c r="D21" s="76"/>
      <c r="E21" s="87">
        <v>4.1</v>
      </c>
      <c r="F21" s="83">
        <f t="shared" si="0"/>
        <v>0</v>
      </c>
      <c r="G21" s="84" t="str">
        <f t="shared" si="1"/>
        <v>foot</v>
      </c>
      <c r="H21" s="85">
        <f t="shared" si="2"/>
        <v>4.1</v>
      </c>
      <c r="J21" s="88"/>
    </row>
    <row r="22" spans="1:10" s="26" customFormat="1" ht="12.75">
      <c r="A22" s="81">
        <f t="shared" si="3"/>
        <v>7</v>
      </c>
      <c r="B22" s="74" t="s">
        <v>44</v>
      </c>
      <c r="C22" s="75" t="s">
        <v>40</v>
      </c>
      <c r="D22" s="76"/>
      <c r="E22" s="87">
        <v>2700</v>
      </c>
      <c r="F22" s="83">
        <f t="shared" si="0"/>
        <v>0</v>
      </c>
      <c r="G22" s="84"/>
      <c r="H22" s="85"/>
      <c r="J22" s="88">
        <v>20</v>
      </c>
    </row>
    <row r="23" spans="1:10" s="26" customFormat="1" ht="12.75">
      <c r="A23" s="81">
        <f t="shared" si="3"/>
        <v>8</v>
      </c>
      <c r="B23" s="74" t="s">
        <v>45</v>
      </c>
      <c r="C23" s="75" t="s">
        <v>40</v>
      </c>
      <c r="D23" s="76"/>
      <c r="E23" s="87">
        <v>49</v>
      </c>
      <c r="F23" s="83">
        <f t="shared" si="0"/>
        <v>0</v>
      </c>
      <c r="G23" s="84" t="str">
        <f>IF(C23="mg","ton",IF(C23="kl","kgal",IF(C23="m3","cy",IF(C23="m2","sy",IF(C23="m","lf",IF(C23="m3","cy",C23))))))</f>
        <v>each</v>
      </c>
      <c r="H23" s="85">
        <f>IF(C23="mg",E23*0.9071847,IF(C23="kl",E23*3.785412,IF(C23="m3",E23*0.7645549,IF(C23="M2",E23*0.8361274,IF(C23="m",E23*0.3048,E23)))))</f>
        <v>49</v>
      </c>
      <c r="J23" s="88"/>
    </row>
    <row r="24" spans="1:10" s="26" customFormat="1" ht="12.75">
      <c r="A24" s="81">
        <f t="shared" si="3"/>
        <v>9</v>
      </c>
      <c r="B24" s="74" t="s">
        <v>46</v>
      </c>
      <c r="C24" s="75" t="s">
        <v>40</v>
      </c>
      <c r="D24" s="76"/>
      <c r="E24" s="87">
        <v>2.5</v>
      </c>
      <c r="F24" s="83">
        <f t="shared" si="0"/>
        <v>0</v>
      </c>
      <c r="G24" s="84"/>
      <c r="H24" s="85"/>
      <c r="J24" s="88"/>
    </row>
    <row r="25" spans="1:10" s="26" customFormat="1" ht="12.75">
      <c r="A25" s="81">
        <f>A22+1</f>
        <v>8</v>
      </c>
      <c r="B25" s="74" t="s">
        <v>47</v>
      </c>
      <c r="C25" s="75" t="s">
        <v>40</v>
      </c>
      <c r="D25" s="76"/>
      <c r="E25" s="87">
        <v>1.25</v>
      </c>
      <c r="F25" s="83">
        <f t="shared" si="0"/>
        <v>0</v>
      </c>
      <c r="G25" s="84" t="str">
        <f>IF(C25="mg","ton",IF(C25="kl","kgal",IF(C25="m3","cy",IF(C25="m2","sy",IF(C25="m","lf",IF(C25="m3","cy",C25))))))</f>
        <v>each</v>
      </c>
      <c r="H25" s="85">
        <f>IF(C25="mg",E25*0.9071847,IF(C25="kl",E25*3.785412,IF(C25="m3",E25*0.7645549,IF(C25="M2",E25*0.8361274,IF(C25="m",E25*0.3048,E25)))))</f>
        <v>1.25</v>
      </c>
      <c r="J25" s="88"/>
    </row>
    <row r="26" spans="1:10" s="26" customFormat="1" ht="12.75">
      <c r="A26" s="81">
        <f aca="true" t="shared" si="4" ref="A26:A57">A25+1</f>
        <v>9</v>
      </c>
      <c r="B26" s="74" t="s">
        <v>48</v>
      </c>
      <c r="C26" s="75" t="s">
        <v>42</v>
      </c>
      <c r="D26" s="76"/>
      <c r="E26" s="87">
        <v>0.2</v>
      </c>
      <c r="F26" s="83">
        <f t="shared" si="0"/>
        <v>0</v>
      </c>
      <c r="G26" s="84" t="str">
        <f>IF(C26="mg","ton",IF(C26="kl","kgal",IF(C26="m3","cy",IF(C26="m2","sy",IF(C26="m","lf",IF(C26="m3","cy",C26))))))</f>
        <v>foot</v>
      </c>
      <c r="H26" s="85">
        <f>IF(C26="mg",E26*0.9071847,IF(C26="kl",E26*3.785412,IF(C26="m3",E26*0.7645549,IF(C26="M2",E26*0.8361274,IF(C26="m",E26*0.3048,E26)))))</f>
        <v>0.2</v>
      </c>
      <c r="J26" s="88"/>
    </row>
    <row r="27" spans="1:10" s="26" customFormat="1" ht="12.75">
      <c r="A27" s="81">
        <f t="shared" si="4"/>
        <v>10</v>
      </c>
      <c r="B27" s="74" t="s">
        <v>49</v>
      </c>
      <c r="C27" s="75" t="s">
        <v>42</v>
      </c>
      <c r="D27" s="76"/>
      <c r="E27" s="87">
        <v>0.65</v>
      </c>
      <c r="F27" s="83">
        <f t="shared" si="0"/>
        <v>0</v>
      </c>
      <c r="G27" s="84" t="str">
        <f>IF(C27="mg","ton",IF(C27="kl","kgal",IF(C27="m3","cy",IF(C27="m2","sy",IF(C27="m","lf",IF(C27="m3","cy",C27))))))</f>
        <v>foot</v>
      </c>
      <c r="H27" s="85">
        <f>IF(C27="mg",E27*0.9071847,IF(C27="kl",E27*3.785412,IF(C27="m3",E27*0.7645549,IF(C27="M2",E27*0.8361274,IF(C27="m",E27*0.3048,E27)))))</f>
        <v>0.65</v>
      </c>
      <c r="J27" s="88">
        <v>100</v>
      </c>
    </row>
    <row r="28" spans="1:10" s="26" customFormat="1" ht="12.75">
      <c r="A28" s="81">
        <f t="shared" si="4"/>
        <v>11</v>
      </c>
      <c r="B28" s="74" t="s">
        <v>50</v>
      </c>
      <c r="C28" s="75" t="s">
        <v>40</v>
      </c>
      <c r="D28" s="76">
        <v>1</v>
      </c>
      <c r="E28" s="87">
        <v>345</v>
      </c>
      <c r="F28" s="83">
        <f t="shared" si="0"/>
        <v>345</v>
      </c>
      <c r="G28" s="84" t="str">
        <f>IF(C28="mg","ton",IF(C28="kl","kgal",IF(C28="m3","cy",IF(C28="m2","sy",IF(C28="m","lf",IF(C28="m3","cy",C28))))))</f>
        <v>each</v>
      </c>
      <c r="H28" s="85">
        <f>IF(C28="mg",E28*0.9071847,IF(C28="kl",E28*3.785412,IF(C28="m3",E28*0.7645549,IF(C28="M2",E28*0.8361274,IF(C28="m",E28*0.3048,E28)))))</f>
        <v>345</v>
      </c>
      <c r="J28" s="88"/>
    </row>
    <row r="29" spans="1:10" s="26" customFormat="1" ht="12.75">
      <c r="A29" s="81">
        <f t="shared" si="4"/>
        <v>12</v>
      </c>
      <c r="B29" s="74" t="s">
        <v>51</v>
      </c>
      <c r="C29" s="75" t="s">
        <v>40</v>
      </c>
      <c r="D29" s="76"/>
      <c r="E29" s="87">
        <v>3155</v>
      </c>
      <c r="F29" s="83">
        <f t="shared" si="0"/>
        <v>0</v>
      </c>
      <c r="G29" s="84"/>
      <c r="H29" s="85"/>
      <c r="J29" s="88"/>
    </row>
    <row r="30" spans="1:10" s="26" customFormat="1" ht="12.75">
      <c r="A30" s="81">
        <f t="shared" si="4"/>
        <v>13</v>
      </c>
      <c r="B30" s="74" t="s">
        <v>52</v>
      </c>
      <c r="C30" s="75" t="s">
        <v>40</v>
      </c>
      <c r="D30" s="76"/>
      <c r="E30" s="87">
        <v>11400</v>
      </c>
      <c r="F30" s="83">
        <f t="shared" si="0"/>
        <v>0</v>
      </c>
      <c r="G30" s="84"/>
      <c r="H30" s="85"/>
      <c r="J30" s="88">
        <v>2</v>
      </c>
    </row>
    <row r="31" spans="1:10" s="26" customFormat="1" ht="12.75">
      <c r="A31" s="81">
        <f t="shared" si="4"/>
        <v>14</v>
      </c>
      <c r="B31" s="74" t="s">
        <v>53</v>
      </c>
      <c r="C31" s="75" t="s">
        <v>54</v>
      </c>
      <c r="D31" s="76">
        <v>80</v>
      </c>
      <c r="E31" s="87">
        <v>33</v>
      </c>
      <c r="F31" s="83">
        <f t="shared" si="0"/>
        <v>2640</v>
      </c>
      <c r="G31" s="84" t="str">
        <f>IF(C31="mg","ton",IF(C31="kl","kgal",IF(C31="m3","cy",IF(C31="m2","sy",IF(C31="m","lf",IF(C31="m3","cy",C31))))))</f>
        <v>hour</v>
      </c>
      <c r="H31" s="85">
        <f>IF(C31="mg",E31*0.9071847,IF(C31="kl",E31*3.785412,IF(C31="m3",E31*0.7645549,IF(C31="M2",E31*0.8361274,IF(C31="m",E31*0.3048,E31)))))</f>
        <v>33</v>
      </c>
      <c r="I31" s="26" t="s">
        <v>55</v>
      </c>
      <c r="J31" s="88"/>
    </row>
    <row r="32" spans="1:10" s="26" customFormat="1" ht="12.75">
      <c r="A32" s="81">
        <f t="shared" si="4"/>
        <v>15</v>
      </c>
      <c r="B32" s="74" t="s">
        <v>56</v>
      </c>
      <c r="C32" s="75" t="s">
        <v>42</v>
      </c>
      <c r="D32" s="76"/>
      <c r="E32" s="87">
        <v>20</v>
      </c>
      <c r="F32" s="83">
        <f t="shared" si="0"/>
        <v>0</v>
      </c>
      <c r="G32" s="84"/>
      <c r="H32" s="85"/>
      <c r="J32" s="88"/>
    </row>
    <row r="33" spans="1:10" s="26" customFormat="1" ht="12.75">
      <c r="A33" s="81">
        <f t="shared" si="4"/>
        <v>16</v>
      </c>
      <c r="B33" s="74" t="s">
        <v>57</v>
      </c>
      <c r="C33" s="75" t="s">
        <v>42</v>
      </c>
      <c r="D33" s="76"/>
      <c r="E33" s="87">
        <v>1.55</v>
      </c>
      <c r="F33" s="83">
        <f t="shared" si="0"/>
        <v>0</v>
      </c>
      <c r="G33" s="84"/>
      <c r="H33" s="85"/>
      <c r="J33" s="86">
        <v>1</v>
      </c>
    </row>
    <row r="34" spans="1:10" s="26" customFormat="1" ht="12.75">
      <c r="A34" s="81">
        <f t="shared" si="4"/>
        <v>17</v>
      </c>
      <c r="B34" s="74" t="s">
        <v>58</v>
      </c>
      <c r="C34" s="75" t="s">
        <v>35</v>
      </c>
      <c r="D34" s="76">
        <v>1</v>
      </c>
      <c r="E34" s="87"/>
      <c r="F34" s="83">
        <f t="shared" si="0"/>
        <v>0</v>
      </c>
      <c r="G34" s="84"/>
      <c r="H34" s="85"/>
      <c r="J34" s="88"/>
    </row>
    <row r="35" spans="1:10" s="26" customFormat="1" ht="12.75">
      <c r="A35" s="81">
        <f t="shared" si="4"/>
        <v>18</v>
      </c>
      <c r="B35" s="74" t="s">
        <v>59</v>
      </c>
      <c r="C35" s="75" t="s">
        <v>40</v>
      </c>
      <c r="D35" s="76"/>
      <c r="E35" s="87">
        <v>735</v>
      </c>
      <c r="F35" s="83">
        <f t="shared" si="0"/>
        <v>0</v>
      </c>
      <c r="G35" s="84"/>
      <c r="H35" s="85"/>
      <c r="J35" s="88">
        <v>1</v>
      </c>
    </row>
    <row r="36" spans="1:10" s="26" customFormat="1" ht="12.75">
      <c r="A36" s="81">
        <f t="shared" si="4"/>
        <v>19</v>
      </c>
      <c r="B36" s="74" t="s">
        <v>60</v>
      </c>
      <c r="C36" s="75" t="s">
        <v>40</v>
      </c>
      <c r="D36" s="76">
        <v>2</v>
      </c>
      <c r="E36" s="87">
        <v>85</v>
      </c>
      <c r="F36" s="83">
        <f t="shared" si="0"/>
        <v>170</v>
      </c>
      <c r="G36" s="84"/>
      <c r="H36" s="85"/>
      <c r="J36" s="89"/>
    </row>
    <row r="37" spans="1:10" s="26" customFormat="1" ht="12.75">
      <c r="A37" s="81">
        <f t="shared" si="4"/>
        <v>20</v>
      </c>
      <c r="B37" s="74" t="s">
        <v>61</v>
      </c>
      <c r="C37" s="75" t="s">
        <v>40</v>
      </c>
      <c r="D37" s="76"/>
      <c r="E37" s="87">
        <v>10.75</v>
      </c>
      <c r="F37" s="83">
        <f t="shared" si="0"/>
        <v>0</v>
      </c>
      <c r="G37" s="84" t="str">
        <f>IF(C37="mg","ton",IF(C37="kl","kgal",IF(C37="m3","cy",IF(C37="m2","sy",IF(C37="m","lf",IF(C37="m3","cy",C37))))))</f>
        <v>each</v>
      </c>
      <c r="H37" s="85">
        <f>IF(C37="mg",E37*0.9071847,IF(C37="kl",E37*3.785412,IF(C37="m3",E37*0.7645549,IF(C37="M2",E37*0.8361274,IF(C37="m",E37*0.3048,E37)))))</f>
        <v>10.75</v>
      </c>
      <c r="J37" s="88">
        <v>1200</v>
      </c>
    </row>
    <row r="38" spans="1:10" s="26" customFormat="1" ht="12.75">
      <c r="A38" s="81">
        <f t="shared" si="4"/>
        <v>21</v>
      </c>
      <c r="B38" s="74" t="s">
        <v>62</v>
      </c>
      <c r="C38" s="75" t="s">
        <v>42</v>
      </c>
      <c r="D38" s="76"/>
      <c r="E38" s="87">
        <v>3.7</v>
      </c>
      <c r="F38" s="83">
        <f t="shared" si="0"/>
        <v>0</v>
      </c>
      <c r="G38" s="84" t="str">
        <f>IF(C38="mg","ton",IF(C38="kl","kgal",IF(C38="m3","cy",IF(C38="m2","sy",IF(C38="m","lf",IF(C38="m3","cy",C38))))))</f>
        <v>foot</v>
      </c>
      <c r="H38" s="85">
        <f>IF(C38="mg",E38*0.9071847,IF(C38="kl",E38*3.785412,IF(C38="m3",E38*0.7645549,IF(C38="M2",E38*0.8361274,IF(C38="m",E38*0.3048,E38)))))</f>
        <v>3.7</v>
      </c>
      <c r="J38" s="88"/>
    </row>
    <row r="39" spans="1:10" s="26" customFormat="1" ht="12.75">
      <c r="A39" s="81">
        <f t="shared" si="4"/>
        <v>22</v>
      </c>
      <c r="B39" s="74" t="s">
        <v>63</v>
      </c>
      <c r="C39" s="90" t="s">
        <v>42</v>
      </c>
      <c r="D39" s="76"/>
      <c r="E39" s="87">
        <v>2.5</v>
      </c>
      <c r="F39" s="83">
        <f t="shared" si="0"/>
        <v>0</v>
      </c>
      <c r="G39" s="84" t="str">
        <f>IF(C36="mg","ton",IF(C36="kl","kgal",IF(C36="m3","cy",IF(C36="m2","sy",IF(C36="m","lf",IF(C36="m3","cy",C36))))))</f>
        <v>each</v>
      </c>
      <c r="H39" s="85">
        <f>IF(C36="mg",E36*0.9071847,IF(C36="kl",E36*3.785412,IF(C36="m3",E36*0.7645549,IF(C36="M2",E36*0.8361274,IF(C36="m",E36*0.3048,E36)))))</f>
        <v>85</v>
      </c>
      <c r="J39" s="88">
        <v>10340</v>
      </c>
    </row>
    <row r="40" spans="1:10" s="26" customFormat="1" ht="12.75">
      <c r="A40" s="81">
        <f t="shared" si="4"/>
        <v>23</v>
      </c>
      <c r="B40" s="26" t="s">
        <v>64</v>
      </c>
      <c r="C40" s="90" t="s">
        <v>37</v>
      </c>
      <c r="D40" s="76"/>
      <c r="E40" s="87">
        <v>0.5</v>
      </c>
      <c r="F40" s="83">
        <f t="shared" si="0"/>
        <v>0</v>
      </c>
      <c r="G40" s="84" t="str">
        <f>IF(C35="mg","ton",IF(C35="kl","kgal",IF(C35="m3","cy",IF(C35="m2","sy",IF(C35="m","lf",IF(C35="m3","cy",C35))))))</f>
        <v>each</v>
      </c>
      <c r="H40" s="85">
        <f>IF(C35="mg",E35*0.9071847,IF(C35="kl",E35*3.785412,IF(C35="m3",E35*0.7645549,IF(C35="M2",E35*0.8361274,IF(C35="m",E35*0.3048,E35)))))</f>
        <v>735</v>
      </c>
      <c r="J40" s="88">
        <v>4</v>
      </c>
    </row>
    <row r="41" spans="1:10" s="26" customFormat="1" ht="12.75">
      <c r="A41" s="81">
        <f t="shared" si="4"/>
        <v>24</v>
      </c>
      <c r="B41" s="26" t="s">
        <v>65</v>
      </c>
      <c r="C41" s="90" t="s">
        <v>37</v>
      </c>
      <c r="D41" s="76"/>
      <c r="E41" s="87">
        <v>0.2</v>
      </c>
      <c r="F41" s="83">
        <f t="shared" si="0"/>
        <v>0</v>
      </c>
      <c r="G41" s="84" t="str">
        <f>IF(C32="mg","ton",IF(C32="kl","kgal",IF(C32="m3","cy",IF(C32="m2","sy",IF(C32="m","lf",IF(C32="m3","cy",C32))))))</f>
        <v>foot</v>
      </c>
      <c r="H41" s="85">
        <f>IF(C32="mg",E32*0.9071847,IF(C32="kl",E32*3.785412,IF(C32="m3",E32*0.7645549,IF(C32="M2",E32*0.8361274,IF(C32="m",E32*0.3048,E32)))))</f>
        <v>20</v>
      </c>
      <c r="J41" s="88">
        <v>440</v>
      </c>
    </row>
    <row r="42" spans="1:10" s="26" customFormat="1" ht="12.75">
      <c r="A42" s="81">
        <f t="shared" si="4"/>
        <v>25</v>
      </c>
      <c r="B42" s="74" t="s">
        <v>253</v>
      </c>
      <c r="C42" s="75" t="s">
        <v>35</v>
      </c>
      <c r="D42" s="76">
        <v>1</v>
      </c>
      <c r="E42" s="82">
        <f>ROUND((SUM(F$18:F$41)+SUM(F$43:F$182))*0.03,-2)</f>
        <v>1800</v>
      </c>
      <c r="F42" s="83">
        <f t="shared" si="0"/>
        <v>1800</v>
      </c>
      <c r="G42" s="84" t="str">
        <f>IF(C42="mg","ton",IF(C42="kl","kgal",IF(C42="m3","cy",IF(C42="m2","sy",IF(C42="m","lf",IF(C42="m3","cy",C42))))))</f>
        <v>ls</v>
      </c>
      <c r="H42" s="85">
        <f>IF(C42="mg",E42*0.9071847,IF(C42="kl",E42*3.785412,IF(C42="m3",E42*0.7645549,IF(C42="M2",E42*0.8361274,IF(C42="m",E42*0.3048,E42)))))</f>
        <v>1800</v>
      </c>
      <c r="J42" s="88"/>
    </row>
    <row r="43" spans="1:10" s="26" customFormat="1" ht="12.75">
      <c r="A43" s="81">
        <f t="shared" si="4"/>
        <v>26</v>
      </c>
      <c r="B43" s="74" t="s">
        <v>66</v>
      </c>
      <c r="C43" s="75" t="s">
        <v>42</v>
      </c>
      <c r="D43" s="76"/>
      <c r="E43" s="87">
        <v>3.05</v>
      </c>
      <c r="F43" s="83">
        <f t="shared" si="0"/>
        <v>0</v>
      </c>
      <c r="G43" s="84"/>
      <c r="H43" s="85"/>
      <c r="J43" s="88">
        <v>4586</v>
      </c>
    </row>
    <row r="44" spans="1:10" s="26" customFormat="1" ht="12.75">
      <c r="A44" s="81">
        <f t="shared" si="4"/>
        <v>27</v>
      </c>
      <c r="B44" s="74" t="s">
        <v>67</v>
      </c>
      <c r="C44" s="75" t="s">
        <v>42</v>
      </c>
      <c r="D44" s="76"/>
      <c r="E44" s="87">
        <v>2.45</v>
      </c>
      <c r="F44" s="83">
        <f t="shared" si="0"/>
        <v>0</v>
      </c>
      <c r="G44" s="84"/>
      <c r="H44" s="85"/>
      <c r="J44" s="88">
        <v>1</v>
      </c>
    </row>
    <row r="45" spans="1:10" s="26" customFormat="1" ht="12.75">
      <c r="A45" s="81">
        <f t="shared" si="4"/>
        <v>28</v>
      </c>
      <c r="B45" s="74" t="s">
        <v>68</v>
      </c>
      <c r="C45" s="75" t="s">
        <v>40</v>
      </c>
      <c r="D45" s="76"/>
      <c r="E45" s="87">
        <v>219</v>
      </c>
      <c r="F45" s="83">
        <f t="shared" si="0"/>
        <v>0</v>
      </c>
      <c r="G45" s="84"/>
      <c r="H45" s="85"/>
      <c r="J45" s="88">
        <v>85</v>
      </c>
    </row>
    <row r="46" spans="1:10" s="26" customFormat="1" ht="12.75">
      <c r="A46" s="81">
        <f t="shared" si="4"/>
        <v>29</v>
      </c>
      <c r="B46" s="74" t="s">
        <v>69</v>
      </c>
      <c r="C46" s="75" t="s">
        <v>40</v>
      </c>
      <c r="D46" s="76"/>
      <c r="E46" s="87">
        <v>795</v>
      </c>
      <c r="F46" s="83">
        <f t="shared" si="0"/>
        <v>0</v>
      </c>
      <c r="G46" s="84"/>
      <c r="H46" s="85"/>
      <c r="J46" s="88"/>
    </row>
    <row r="47" spans="1:10" s="26" customFormat="1" ht="12.75">
      <c r="A47" s="81">
        <f t="shared" si="4"/>
        <v>30</v>
      </c>
      <c r="B47" s="74" t="s">
        <v>70</v>
      </c>
      <c r="C47" s="75" t="s">
        <v>42</v>
      </c>
      <c r="D47" s="76"/>
      <c r="E47" s="87">
        <v>10.35</v>
      </c>
      <c r="F47" s="83">
        <f t="shared" si="0"/>
        <v>0</v>
      </c>
      <c r="G47" s="84"/>
      <c r="H47" s="85"/>
      <c r="J47" s="88"/>
    </row>
    <row r="48" spans="1:10" s="26" customFormat="1" ht="12.75">
      <c r="A48" s="81">
        <f t="shared" si="4"/>
        <v>31</v>
      </c>
      <c r="B48" s="74" t="s">
        <v>71</v>
      </c>
      <c r="C48" s="75" t="s">
        <v>42</v>
      </c>
      <c r="D48" s="76"/>
      <c r="E48" s="87">
        <v>16.75</v>
      </c>
      <c r="F48" s="83">
        <f aca="true" t="shared" si="5" ref="F48:F79">D48*E48</f>
        <v>0</v>
      </c>
      <c r="G48" s="84"/>
      <c r="H48" s="85"/>
      <c r="J48" s="88"/>
    </row>
    <row r="49" spans="1:10" s="26" customFormat="1" ht="12.75">
      <c r="A49" s="81">
        <f t="shared" si="4"/>
        <v>32</v>
      </c>
      <c r="B49" s="74" t="s">
        <v>72</v>
      </c>
      <c r="C49" s="75" t="s">
        <v>73</v>
      </c>
      <c r="D49" s="76"/>
      <c r="E49" s="87">
        <v>3.4</v>
      </c>
      <c r="F49" s="83">
        <f t="shared" si="5"/>
        <v>0</v>
      </c>
      <c r="G49" s="84"/>
      <c r="H49" s="85"/>
      <c r="J49" s="88"/>
    </row>
    <row r="50" spans="1:10" s="26" customFormat="1" ht="12.75">
      <c r="A50" s="81">
        <f t="shared" si="4"/>
        <v>33</v>
      </c>
      <c r="B50" s="74" t="s">
        <v>74</v>
      </c>
      <c r="C50" s="75" t="s">
        <v>73</v>
      </c>
      <c r="D50" s="76"/>
      <c r="E50" s="87">
        <v>9.7</v>
      </c>
      <c r="F50" s="83">
        <f t="shared" si="5"/>
        <v>0</v>
      </c>
      <c r="G50" s="84"/>
      <c r="H50" s="85"/>
      <c r="J50" s="88"/>
    </row>
    <row r="51" spans="1:10" s="26" customFormat="1" ht="12.75">
      <c r="A51" s="81">
        <f t="shared" si="4"/>
        <v>34</v>
      </c>
      <c r="B51" s="74" t="s">
        <v>75</v>
      </c>
      <c r="C51" s="75" t="s">
        <v>73</v>
      </c>
      <c r="D51" s="76"/>
      <c r="E51" s="87">
        <v>7</v>
      </c>
      <c r="F51" s="83">
        <f t="shared" si="5"/>
        <v>0</v>
      </c>
      <c r="G51" s="84" t="str">
        <f>IF(C51="mg","ton",IF(C51="kl","kgal",IF(C51="m3","cy",IF(C51="m2","sy",IF(C51="m","lf",IF(C51="m3","cy",C51))))))</f>
        <v>sqyd</v>
      </c>
      <c r="H51" s="85">
        <f>IF(C51="mg",E51*0.9071847,IF(C51="kl",E51*3.785412,IF(C51="m3",E51*0.7645549,IF(C51="M2",E51*0.8361274,IF(C51="m",E51*0.3048,E51)))))</f>
        <v>7</v>
      </c>
      <c r="J51" s="88"/>
    </row>
    <row r="52" spans="1:10" s="26" customFormat="1" ht="12.75">
      <c r="A52" s="81">
        <f t="shared" si="4"/>
        <v>35</v>
      </c>
      <c r="B52" s="74" t="s">
        <v>76</v>
      </c>
      <c r="C52" s="75" t="s">
        <v>42</v>
      </c>
      <c r="D52" s="76">
        <v>50</v>
      </c>
      <c r="E52" s="87">
        <v>4.5</v>
      </c>
      <c r="F52" s="83">
        <f t="shared" si="5"/>
        <v>225</v>
      </c>
      <c r="G52" s="84"/>
      <c r="H52" s="85"/>
      <c r="J52" s="88"/>
    </row>
    <row r="53" spans="1:10" s="26" customFormat="1" ht="12.75">
      <c r="A53" s="81">
        <f t="shared" si="4"/>
        <v>36</v>
      </c>
      <c r="B53" s="74" t="s">
        <v>77</v>
      </c>
      <c r="C53" s="75" t="s">
        <v>42</v>
      </c>
      <c r="D53" s="76"/>
      <c r="E53" s="87">
        <v>3.8</v>
      </c>
      <c r="F53" s="83">
        <f t="shared" si="5"/>
        <v>0</v>
      </c>
      <c r="G53" s="84"/>
      <c r="H53" s="85"/>
      <c r="J53" s="88"/>
    </row>
    <row r="54" spans="1:10" s="26" customFormat="1" ht="12.75">
      <c r="A54" s="81">
        <f t="shared" si="4"/>
        <v>37</v>
      </c>
      <c r="B54" s="26" t="s">
        <v>78</v>
      </c>
      <c r="C54" s="75" t="s">
        <v>35</v>
      </c>
      <c r="D54" s="76">
        <v>1</v>
      </c>
      <c r="E54" s="87">
        <v>200</v>
      </c>
      <c r="F54" s="83">
        <f t="shared" si="5"/>
        <v>200</v>
      </c>
      <c r="G54" s="84" t="str">
        <f aca="true" t="shared" si="6" ref="G54:G60">IF(C54="mg","ton",IF(C54="kl","kgal",IF(C54="m3","cy",IF(C54="m2","sy",IF(C54="m","lf",IF(C54="m3","cy",C54))))))</f>
        <v>ls</v>
      </c>
      <c r="H54" s="85">
        <f aca="true" t="shared" si="7" ref="H54:H60">IF(C54="mg",E54*0.9071847,IF(C54="kl",E54*3.785412,IF(C54="m3",E54*0.7645549,IF(C54="M2",E54*0.8361274,IF(C54="m",E54*0.3048,E54)))))</f>
        <v>200</v>
      </c>
      <c r="J54" s="88"/>
    </row>
    <row r="55" spans="1:10" s="26" customFormat="1" ht="12.75">
      <c r="A55" s="81">
        <f t="shared" si="4"/>
        <v>38</v>
      </c>
      <c r="B55" s="26" t="s">
        <v>79</v>
      </c>
      <c r="C55" s="75" t="s">
        <v>80</v>
      </c>
      <c r="D55" s="91"/>
      <c r="E55" s="83">
        <v>8</v>
      </c>
      <c r="F55" s="83">
        <f t="shared" si="5"/>
        <v>0</v>
      </c>
      <c r="G55" s="84" t="str">
        <f t="shared" si="6"/>
        <v>cuyd</v>
      </c>
      <c r="H55" s="85">
        <f t="shared" si="7"/>
        <v>8</v>
      </c>
      <c r="J55" s="89"/>
    </row>
    <row r="56" spans="1:10" s="26" customFormat="1" ht="12.75">
      <c r="A56" s="81">
        <f t="shared" si="4"/>
        <v>39</v>
      </c>
      <c r="B56" s="26" t="s">
        <v>81</v>
      </c>
      <c r="C56" s="75" t="s">
        <v>80</v>
      </c>
      <c r="D56" s="76">
        <v>295</v>
      </c>
      <c r="E56" s="87">
        <v>13.75</v>
      </c>
      <c r="F56" s="83">
        <f t="shared" si="5"/>
        <v>4056.25</v>
      </c>
      <c r="G56" s="84" t="str">
        <f t="shared" si="6"/>
        <v>cuyd</v>
      </c>
      <c r="H56" s="85">
        <f t="shared" si="7"/>
        <v>13.75</v>
      </c>
      <c r="J56" s="89"/>
    </row>
    <row r="57" spans="1:10" s="26" customFormat="1" ht="12.75">
      <c r="A57" s="81">
        <f t="shared" si="4"/>
        <v>40</v>
      </c>
      <c r="B57" s="26" t="s">
        <v>82</v>
      </c>
      <c r="C57" s="75" t="s">
        <v>80</v>
      </c>
      <c r="D57" s="76"/>
      <c r="E57" s="87">
        <v>2</v>
      </c>
      <c r="F57" s="83">
        <f t="shared" si="5"/>
        <v>0</v>
      </c>
      <c r="G57" s="84" t="str">
        <f t="shared" si="6"/>
        <v>cuyd</v>
      </c>
      <c r="H57" s="85">
        <f t="shared" si="7"/>
        <v>2</v>
      </c>
      <c r="I57" s="26" t="s">
        <v>83</v>
      </c>
      <c r="J57" s="89"/>
    </row>
    <row r="58" spans="1:10" s="26" customFormat="1" ht="12.75">
      <c r="A58" s="81">
        <f aca="true" t="shared" si="8" ref="A58:A89">A57+1</f>
        <v>41</v>
      </c>
      <c r="B58" s="26" t="s">
        <v>84</v>
      </c>
      <c r="C58" s="75" t="s">
        <v>80</v>
      </c>
      <c r="D58" s="76"/>
      <c r="E58" s="87">
        <v>13</v>
      </c>
      <c r="F58" s="83">
        <f t="shared" si="5"/>
        <v>0</v>
      </c>
      <c r="G58" s="84" t="str">
        <f t="shared" si="6"/>
        <v>cuyd</v>
      </c>
      <c r="H58" s="85">
        <f t="shared" si="7"/>
        <v>13</v>
      </c>
      <c r="I58" s="26" t="s">
        <v>83</v>
      </c>
      <c r="J58" s="89"/>
    </row>
    <row r="59" spans="1:10" s="26" customFormat="1" ht="12.75">
      <c r="A59" s="81">
        <f t="shared" si="8"/>
        <v>42</v>
      </c>
      <c r="B59" s="74" t="s">
        <v>85</v>
      </c>
      <c r="C59" s="75" t="s">
        <v>40</v>
      </c>
      <c r="D59" s="76"/>
      <c r="E59" s="87">
        <v>400</v>
      </c>
      <c r="F59" s="83">
        <f t="shared" si="5"/>
        <v>0</v>
      </c>
      <c r="G59" s="84" t="str">
        <f t="shared" si="6"/>
        <v>each</v>
      </c>
      <c r="H59" s="85">
        <f t="shared" si="7"/>
        <v>400</v>
      </c>
      <c r="J59" s="88"/>
    </row>
    <row r="60" spans="1:10" s="26" customFormat="1" ht="12.75">
      <c r="A60" s="81">
        <f t="shared" si="8"/>
        <v>43</v>
      </c>
      <c r="B60" s="74" t="s">
        <v>86</v>
      </c>
      <c r="C60" s="75" t="s">
        <v>73</v>
      </c>
      <c r="D60" s="76">
        <v>40</v>
      </c>
      <c r="E60" s="87">
        <v>10.5</v>
      </c>
      <c r="F60" s="83">
        <f t="shared" si="5"/>
        <v>420</v>
      </c>
      <c r="G60" s="84" t="str">
        <f t="shared" si="6"/>
        <v>sqyd</v>
      </c>
      <c r="H60" s="85">
        <f t="shared" si="7"/>
        <v>10.5</v>
      </c>
      <c r="I60" s="92" t="s">
        <v>87</v>
      </c>
      <c r="J60" s="88">
        <v>230</v>
      </c>
    </row>
    <row r="61" spans="1:10" s="26" customFormat="1" ht="12.75">
      <c r="A61" s="81">
        <f t="shared" si="8"/>
        <v>44</v>
      </c>
      <c r="B61" s="74" t="s">
        <v>88</v>
      </c>
      <c r="C61" s="75" t="s">
        <v>73</v>
      </c>
      <c r="D61" s="76"/>
      <c r="E61" s="87">
        <v>24.9</v>
      </c>
      <c r="F61" s="83">
        <f t="shared" si="5"/>
        <v>0</v>
      </c>
      <c r="G61" s="84"/>
      <c r="H61" s="85"/>
      <c r="J61" s="88"/>
    </row>
    <row r="62" spans="1:10" s="26" customFormat="1" ht="12.75">
      <c r="A62" s="81">
        <f t="shared" si="8"/>
        <v>45</v>
      </c>
      <c r="B62" s="74" t="s">
        <v>89</v>
      </c>
      <c r="C62" s="75" t="s">
        <v>73</v>
      </c>
      <c r="D62" s="76"/>
      <c r="E62" s="87">
        <v>12.5</v>
      </c>
      <c r="F62" s="83">
        <f t="shared" si="5"/>
        <v>0</v>
      </c>
      <c r="G62" s="84"/>
      <c r="H62" s="85"/>
      <c r="J62" s="89"/>
    </row>
    <row r="63" spans="1:10" s="26" customFormat="1" ht="12.75">
      <c r="A63" s="81">
        <f t="shared" si="8"/>
        <v>46</v>
      </c>
      <c r="B63" s="74" t="s">
        <v>90</v>
      </c>
      <c r="C63" s="75" t="s">
        <v>91</v>
      </c>
      <c r="D63" s="76"/>
      <c r="E63" s="87">
        <v>26.5</v>
      </c>
      <c r="F63" s="83">
        <f t="shared" si="5"/>
        <v>0</v>
      </c>
      <c r="G63" s="84" t="str">
        <f>IF(C63="mg","ton",IF(C63="kl","kgal",IF(C63="m3","cy",IF(C63="m2","sy",IF(C63="m","lf",IF(C63="m3","cy",C63))))))</f>
        <v>mgal</v>
      </c>
      <c r="H63" s="85">
        <f>IF(C63="mg",E63*0.9071847,IF(C63="kl",E63*3.785412,IF(C63="m3",E63*0.7645549,IF(C63="M2",E63*0.8361274,IF(C63="m",E63*0.3048,E63)))))</f>
        <v>26.5</v>
      </c>
      <c r="J63" s="89"/>
    </row>
    <row r="64" spans="1:10" s="26" customFormat="1" ht="12.75">
      <c r="A64" s="81">
        <f t="shared" si="8"/>
        <v>47</v>
      </c>
      <c r="B64" s="74" t="s">
        <v>92</v>
      </c>
      <c r="C64" s="75" t="s">
        <v>73</v>
      </c>
      <c r="D64" s="76"/>
      <c r="E64" s="87">
        <v>1.8</v>
      </c>
      <c r="F64" s="83">
        <f t="shared" si="5"/>
        <v>0</v>
      </c>
      <c r="G64" s="84"/>
      <c r="H64" s="85"/>
      <c r="J64" s="89"/>
    </row>
    <row r="65" spans="1:10" s="26" customFormat="1" ht="12.75">
      <c r="A65" s="81">
        <f t="shared" si="8"/>
        <v>48</v>
      </c>
      <c r="B65" s="74" t="s">
        <v>93</v>
      </c>
      <c r="C65" s="75" t="s">
        <v>73</v>
      </c>
      <c r="D65" s="76"/>
      <c r="E65" s="87">
        <v>1</v>
      </c>
      <c r="F65" s="83">
        <f t="shared" si="5"/>
        <v>0</v>
      </c>
      <c r="G65" s="84"/>
      <c r="H65" s="85"/>
      <c r="J65" s="89">
        <v>540</v>
      </c>
    </row>
    <row r="66" spans="1:10" s="26" customFormat="1" ht="12.75">
      <c r="A66" s="81">
        <f t="shared" si="8"/>
        <v>49</v>
      </c>
      <c r="B66" s="74" t="s">
        <v>94</v>
      </c>
      <c r="C66" s="75" t="s">
        <v>73</v>
      </c>
      <c r="D66" s="76">
        <v>410</v>
      </c>
      <c r="E66" s="87">
        <v>1.1</v>
      </c>
      <c r="F66" s="83">
        <f t="shared" si="5"/>
        <v>451.00000000000006</v>
      </c>
      <c r="G66" s="84" t="str">
        <f>IF(C66="mg","ton",IF(C66="kl","kgal",IF(C66="m3","cy",IF(C66="m2","sy",IF(C66="m","lf",IF(C66="m3","cy",C66))))))</f>
        <v>sqyd</v>
      </c>
      <c r="H66" s="85">
        <f>IF(C66="mg",E66*0.9071847,IF(C66="kl",E66*3.785412,IF(C66="m3",E66*0.7645549,IF(C66="M2",E66*0.8361274,IF(C66="m",E66*0.3048,E66)))))</f>
        <v>1.1</v>
      </c>
      <c r="J66" s="89"/>
    </row>
    <row r="67" spans="1:10" s="26" customFormat="1" ht="12.75">
      <c r="A67" s="81">
        <f t="shared" si="8"/>
        <v>50</v>
      </c>
      <c r="B67" s="74" t="s">
        <v>95</v>
      </c>
      <c r="C67" s="75" t="s">
        <v>96</v>
      </c>
      <c r="D67" s="76"/>
      <c r="E67" s="87">
        <v>36</v>
      </c>
      <c r="F67" s="83">
        <f t="shared" si="5"/>
        <v>0</v>
      </c>
      <c r="G67" s="84" t="str">
        <f>IF(C67="mg","ton",IF(C67="kl","kgal",IF(C67="m3","cy",IF(C67="m2","sy",IF(C67="m","lf",IF(C67="m3","cy",C67))))))</f>
        <v>ton</v>
      </c>
      <c r="H67" s="85">
        <f>IF(C67="mg",E67*0.9071847,IF(C67="kl",E67*3.785412,IF(C67="m3",E67*0.7645549,IF(C67="M2",E67*0.8361274,IF(C67="m",E67*0.3048,E67)))))</f>
        <v>36</v>
      </c>
      <c r="J67" s="89"/>
    </row>
    <row r="68" spans="1:10" s="26" customFormat="1" ht="12.75">
      <c r="A68" s="81">
        <f t="shared" si="8"/>
        <v>51</v>
      </c>
      <c r="B68" s="26" t="s">
        <v>97</v>
      </c>
      <c r="C68" s="75" t="s">
        <v>73</v>
      </c>
      <c r="D68" s="76"/>
      <c r="E68" s="87">
        <v>27.35</v>
      </c>
      <c r="F68" s="83">
        <f t="shared" si="5"/>
        <v>0</v>
      </c>
      <c r="G68" s="84"/>
      <c r="H68" s="85"/>
      <c r="J68" s="89"/>
    </row>
    <row r="69" spans="1:10" s="26" customFormat="1" ht="12.75">
      <c r="A69" s="81">
        <f t="shared" si="8"/>
        <v>52</v>
      </c>
      <c r="B69" s="26" t="s">
        <v>98</v>
      </c>
      <c r="C69" s="75" t="s">
        <v>80</v>
      </c>
      <c r="D69" s="76"/>
      <c r="E69" s="87">
        <v>77</v>
      </c>
      <c r="F69" s="83">
        <f t="shared" si="5"/>
        <v>0</v>
      </c>
      <c r="G69" s="84"/>
      <c r="H69" s="85"/>
      <c r="J69" s="89"/>
    </row>
    <row r="70" spans="1:10" s="26" customFormat="1" ht="12.75">
      <c r="A70" s="81">
        <f t="shared" si="8"/>
        <v>53</v>
      </c>
      <c r="B70" s="26" t="s">
        <v>99</v>
      </c>
      <c r="C70" s="75" t="s">
        <v>80</v>
      </c>
      <c r="D70" s="76"/>
      <c r="E70" s="87">
        <v>80</v>
      </c>
      <c r="F70" s="83">
        <f t="shared" si="5"/>
        <v>0</v>
      </c>
      <c r="G70" s="84" t="str">
        <f>IF(C70="mg","ton",IF(C70="kl","kgal",IF(C70="m3","cy",IF(C70="m2","sy",IF(C70="m","lf",IF(C70="m3","cy",C70))))))</f>
        <v>cuyd</v>
      </c>
      <c r="H70" s="85">
        <f>IF(C70="mg",E70*0.9071847,IF(C70="kl",E70*3.785412,IF(C70="m3",E70*0.7645549,IF(C70="M2",E70*0.8361274,IF(C70="m",E70*0.3048,E70)))))</f>
        <v>80</v>
      </c>
      <c r="I70" s="92" t="s">
        <v>100</v>
      </c>
      <c r="J70" s="89"/>
    </row>
    <row r="71" spans="1:10" s="26" customFormat="1" ht="12.75">
      <c r="A71" s="81">
        <f t="shared" si="8"/>
        <v>54</v>
      </c>
      <c r="B71" s="26" t="s">
        <v>101</v>
      </c>
      <c r="C71" s="90" t="s">
        <v>42</v>
      </c>
      <c r="D71" s="76"/>
      <c r="E71" s="87">
        <v>10.5</v>
      </c>
      <c r="F71" s="83">
        <f t="shared" si="5"/>
        <v>0</v>
      </c>
      <c r="G71" s="84" t="str">
        <f>IF(C68="mg","ton",IF(C68="kl","kgal",IF(C68="m3","cy",IF(C68="m2","sy",IF(C68="m","lf",IF(C68="m3","cy",C68))))))</f>
        <v>sqyd</v>
      </c>
      <c r="H71" s="85">
        <f>IF(C68="mg",E68*0.9071847,IF(C68="kl",E68*3.785412,IF(C68="m3",E68*0.7645549,IF(C68="M2",E68*0.8361274,IF(C68="m",E68*0.3048,E68)))))</f>
        <v>27.35</v>
      </c>
      <c r="J71" s="88"/>
    </row>
    <row r="72" spans="1:10" s="26" customFormat="1" ht="12.75">
      <c r="A72" s="81">
        <f t="shared" si="8"/>
        <v>55</v>
      </c>
      <c r="B72" s="26" t="s">
        <v>102</v>
      </c>
      <c r="C72" s="90" t="s">
        <v>42</v>
      </c>
      <c r="D72" s="76"/>
      <c r="E72" s="87">
        <v>39</v>
      </c>
      <c r="F72" s="83">
        <f t="shared" si="5"/>
        <v>0</v>
      </c>
      <c r="G72" s="84"/>
      <c r="H72" s="85"/>
      <c r="J72" s="88">
        <v>2</v>
      </c>
    </row>
    <row r="73" spans="1:10" s="26" customFormat="1" ht="12.75">
      <c r="A73" s="81">
        <f t="shared" si="8"/>
        <v>56</v>
      </c>
      <c r="B73" s="26" t="s">
        <v>103</v>
      </c>
      <c r="C73" s="90" t="s">
        <v>42</v>
      </c>
      <c r="D73" s="76"/>
      <c r="E73" s="87">
        <v>61</v>
      </c>
      <c r="F73" s="83">
        <f t="shared" si="5"/>
        <v>0</v>
      </c>
      <c r="G73" s="84"/>
      <c r="H73" s="85"/>
      <c r="J73" s="88"/>
    </row>
    <row r="74" spans="1:10" s="26" customFormat="1" ht="12.75">
      <c r="A74" s="81">
        <f t="shared" si="8"/>
        <v>57</v>
      </c>
      <c r="B74" s="26" t="s">
        <v>104</v>
      </c>
      <c r="C74" s="90" t="s">
        <v>42</v>
      </c>
      <c r="D74" s="76"/>
      <c r="E74" s="87">
        <v>73</v>
      </c>
      <c r="F74" s="83">
        <f t="shared" si="5"/>
        <v>0</v>
      </c>
      <c r="G74" s="84"/>
      <c r="H74" s="85"/>
      <c r="J74" s="89"/>
    </row>
    <row r="75" spans="1:10" s="26" customFormat="1" ht="12.75">
      <c r="A75" s="81">
        <f t="shared" si="8"/>
        <v>58</v>
      </c>
      <c r="B75" s="26" t="s">
        <v>105</v>
      </c>
      <c r="C75" s="90" t="s">
        <v>42</v>
      </c>
      <c r="D75" s="76"/>
      <c r="E75" s="83">
        <v>27</v>
      </c>
      <c r="F75" s="83">
        <f t="shared" si="5"/>
        <v>0</v>
      </c>
      <c r="G75" s="84"/>
      <c r="H75" s="85"/>
      <c r="J75" s="88">
        <v>5</v>
      </c>
    </row>
    <row r="76" spans="1:10" s="26" customFormat="1" ht="12.75">
      <c r="A76" s="81">
        <f t="shared" si="8"/>
        <v>59</v>
      </c>
      <c r="B76" s="26" t="s">
        <v>106</v>
      </c>
      <c r="C76" s="90" t="s">
        <v>42</v>
      </c>
      <c r="D76" s="76"/>
      <c r="E76" s="83">
        <v>29.9</v>
      </c>
      <c r="F76" s="83">
        <f t="shared" si="5"/>
        <v>0</v>
      </c>
      <c r="G76" s="84"/>
      <c r="H76" s="85"/>
      <c r="J76" s="88">
        <v>10</v>
      </c>
    </row>
    <row r="77" spans="1:10" s="26" customFormat="1" ht="12.75">
      <c r="A77" s="81">
        <f t="shared" si="8"/>
        <v>60</v>
      </c>
      <c r="B77" s="26" t="s">
        <v>107</v>
      </c>
      <c r="C77" s="90" t="s">
        <v>42</v>
      </c>
      <c r="D77" s="76">
        <v>40</v>
      </c>
      <c r="E77" s="93">
        <v>31.4</v>
      </c>
      <c r="F77" s="83">
        <f t="shared" si="5"/>
        <v>1256</v>
      </c>
      <c r="G77" s="84"/>
      <c r="H77" s="85"/>
      <c r="J77" s="88"/>
    </row>
    <row r="78" spans="1:8" s="26" customFormat="1" ht="12.75">
      <c r="A78" s="81">
        <f t="shared" si="8"/>
        <v>61</v>
      </c>
      <c r="B78" s="26" t="s">
        <v>108</v>
      </c>
      <c r="C78" s="90" t="s">
        <v>42</v>
      </c>
      <c r="D78" s="76"/>
      <c r="E78" s="83">
        <v>32.9</v>
      </c>
      <c r="F78" s="83">
        <f t="shared" si="5"/>
        <v>0</v>
      </c>
      <c r="G78" s="84"/>
      <c r="H78" s="85"/>
    </row>
    <row r="79" spans="1:9" s="26" customFormat="1" ht="12.75">
      <c r="A79" s="81">
        <f t="shared" si="8"/>
        <v>62</v>
      </c>
      <c r="B79" s="26" t="s">
        <v>109</v>
      </c>
      <c r="C79" s="90" t="s">
        <v>42</v>
      </c>
      <c r="D79" s="76">
        <v>160</v>
      </c>
      <c r="E79" s="93">
        <v>37.9</v>
      </c>
      <c r="F79" s="83">
        <f t="shared" si="5"/>
        <v>6064</v>
      </c>
      <c r="G79" s="84"/>
      <c r="H79" s="85"/>
      <c r="I79" s="26" t="s">
        <v>110</v>
      </c>
    </row>
    <row r="80" spans="1:8" s="26" customFormat="1" ht="12.75">
      <c r="A80" s="81">
        <f t="shared" si="8"/>
        <v>63</v>
      </c>
      <c r="B80" s="26" t="s">
        <v>111</v>
      </c>
      <c r="C80" s="90" t="s">
        <v>42</v>
      </c>
      <c r="D80" s="76"/>
      <c r="E80" s="83">
        <v>30.9</v>
      </c>
      <c r="F80" s="83">
        <f aca="true" t="shared" si="9" ref="F80:F111">D80*E80</f>
        <v>0</v>
      </c>
      <c r="G80" s="84"/>
      <c r="H80" s="85"/>
    </row>
    <row r="81" spans="1:8" s="26" customFormat="1" ht="12.75">
      <c r="A81" s="81">
        <f t="shared" si="8"/>
        <v>64</v>
      </c>
      <c r="B81" s="26" t="s">
        <v>112</v>
      </c>
      <c r="C81" s="90" t="s">
        <v>42</v>
      </c>
      <c r="D81" s="76"/>
      <c r="E81" s="83">
        <v>35.9</v>
      </c>
      <c r="F81" s="83">
        <f t="shared" si="9"/>
        <v>0</v>
      </c>
      <c r="G81" s="84"/>
      <c r="H81" s="85"/>
    </row>
    <row r="82" spans="1:8" s="26" customFormat="1" ht="12.75">
      <c r="A82" s="81">
        <f t="shared" si="8"/>
        <v>65</v>
      </c>
      <c r="B82" s="26" t="s">
        <v>113</v>
      </c>
      <c r="C82" s="90" t="s">
        <v>42</v>
      </c>
      <c r="D82" s="76"/>
      <c r="E82" s="83">
        <v>42.15</v>
      </c>
      <c r="F82" s="83">
        <f t="shared" si="9"/>
        <v>0</v>
      </c>
      <c r="G82" s="84"/>
      <c r="H82" s="85"/>
    </row>
    <row r="83" spans="1:8" s="26" customFormat="1" ht="12.75">
      <c r="A83" s="81">
        <f t="shared" si="8"/>
        <v>66</v>
      </c>
      <c r="B83" s="26" t="s">
        <v>114</v>
      </c>
      <c r="C83" s="90" t="s">
        <v>42</v>
      </c>
      <c r="D83" s="76"/>
      <c r="E83" s="83">
        <v>47.15</v>
      </c>
      <c r="F83" s="83">
        <f t="shared" si="9"/>
        <v>0</v>
      </c>
      <c r="G83" s="84"/>
      <c r="H83" s="85"/>
    </row>
    <row r="84" spans="1:8" s="26" customFormat="1" ht="12.75">
      <c r="A84" s="81">
        <f t="shared" si="8"/>
        <v>67</v>
      </c>
      <c r="B84" s="74" t="s">
        <v>115</v>
      </c>
      <c r="C84" s="75" t="s">
        <v>40</v>
      </c>
      <c r="D84" s="76"/>
      <c r="E84" s="83">
        <v>450</v>
      </c>
      <c r="F84" s="83">
        <f t="shared" si="9"/>
        <v>0</v>
      </c>
      <c r="G84" s="84"/>
      <c r="H84" s="85"/>
    </row>
    <row r="85" spans="1:8" s="26" customFormat="1" ht="12.75">
      <c r="A85" s="81">
        <f t="shared" si="8"/>
        <v>68</v>
      </c>
      <c r="B85" s="74" t="s">
        <v>116</v>
      </c>
      <c r="C85" s="75" t="s">
        <v>42</v>
      </c>
      <c r="D85" s="76"/>
      <c r="E85" s="83">
        <v>1.25</v>
      </c>
      <c r="F85" s="83">
        <f t="shared" si="9"/>
        <v>0</v>
      </c>
      <c r="G85" s="84"/>
      <c r="H85" s="85"/>
    </row>
    <row r="86" spans="1:8" s="26" customFormat="1" ht="12.75">
      <c r="A86" s="81">
        <f t="shared" si="8"/>
        <v>69</v>
      </c>
      <c r="B86" s="79" t="s">
        <v>117</v>
      </c>
      <c r="C86" s="75" t="s">
        <v>40</v>
      </c>
      <c r="D86" s="76"/>
      <c r="E86" s="83">
        <v>100000</v>
      </c>
      <c r="F86" s="83">
        <f t="shared" si="9"/>
        <v>0</v>
      </c>
      <c r="G86" s="84" t="str">
        <f>IF(C109="mg","ton",IF(C109="kl","kgal",IF(C109="m3","cy",IF(C109="m2","sy",IF(C109="m","lf",IF(C109="m3","cy",C109))))))</f>
        <v>sqft</v>
      </c>
      <c r="H86" s="85">
        <f>IF(C109="mg",E109*0.9071847,IF(C109="kl",E109*3.785412,IF(C109="m3",E109*0.7645549,IF(C109="M2",E109*0.8361274,IF(C109="m",E109*0.3048,E109)))))</f>
        <v>35</v>
      </c>
    </row>
    <row r="87" spans="1:8" s="26" customFormat="1" ht="12.75">
      <c r="A87" s="81">
        <f t="shared" si="8"/>
        <v>70</v>
      </c>
      <c r="B87" s="79" t="s">
        <v>118</v>
      </c>
      <c r="C87" s="75" t="s">
        <v>40</v>
      </c>
      <c r="D87" s="76"/>
      <c r="E87" s="83">
        <v>50000</v>
      </c>
      <c r="F87" s="83">
        <f t="shared" si="9"/>
        <v>0</v>
      </c>
      <c r="G87" s="84"/>
      <c r="H87" s="85"/>
    </row>
    <row r="88" spans="1:8" s="26" customFormat="1" ht="12.75">
      <c r="A88" s="81">
        <f t="shared" si="8"/>
        <v>71</v>
      </c>
      <c r="B88" s="26" t="s">
        <v>119</v>
      </c>
      <c r="C88" s="90" t="s">
        <v>40</v>
      </c>
      <c r="D88" s="76"/>
      <c r="E88" s="87">
        <v>3000</v>
      </c>
      <c r="F88" s="83">
        <f t="shared" si="9"/>
        <v>0</v>
      </c>
      <c r="G88" s="84" t="str">
        <f>IF(C113="mg","ton",IF(C113="kl","kgal",IF(C113="m3","cy",IF(C113="m2","sy",IF(C113="m","lf",IF(C113="m3","cy",C113))))))</f>
        <v>sqft</v>
      </c>
      <c r="H88" s="85">
        <f>IF(C113="mg",E113*0.9071847,IF(C113="kl",E113*3.785412,IF(C113="m3",E113*0.7645549,IF(C113="M2",E113*0.8361274,IF(C113="m",E113*0.3048,E113)))))</f>
        <v>28.15</v>
      </c>
    </row>
    <row r="89" spans="1:9" s="26" customFormat="1" ht="12.75">
      <c r="A89" s="81">
        <f t="shared" si="8"/>
        <v>72</v>
      </c>
      <c r="B89" s="26" t="s">
        <v>120</v>
      </c>
      <c r="C89" s="90" t="s">
        <v>40</v>
      </c>
      <c r="D89" s="76">
        <v>2</v>
      </c>
      <c r="E89" s="94">
        <v>2355</v>
      </c>
      <c r="F89" s="83">
        <f t="shared" si="9"/>
        <v>4710</v>
      </c>
      <c r="G89" s="84" t="e">
        <f>IF(#REF!="mg","ton",IF(#REF!="kl","kgal",IF(#REF!="m3","cy",IF(#REF!="m2","sy",IF(#REF!="m","lf",IF(#REF!="m3","cy",#REF!))))))</f>
        <v>#REF!</v>
      </c>
      <c r="H89" s="85" t="e">
        <f>IF(#REF!="mg",#REF!*0.9071847,IF(#REF!="kl",#REF!*3.785412,IF(#REF!="m3",#REF!*0.7645549,IF(#REF!="M2",#REF!*0.8361274,IF(#REF!="m",#REF!*0.3048,#REF!)))))</f>
        <v>#REF!</v>
      </c>
      <c r="I89" s="26" t="s">
        <v>110</v>
      </c>
    </row>
    <row r="90" spans="1:8" s="26" customFormat="1" ht="12.75">
      <c r="A90" s="81">
        <f aca="true" t="shared" si="10" ref="A90:A121">A89+1</f>
        <v>73</v>
      </c>
      <c r="B90" s="26" t="s">
        <v>121</v>
      </c>
      <c r="C90" s="90" t="s">
        <v>40</v>
      </c>
      <c r="D90" s="76"/>
      <c r="E90" s="87">
        <v>6165</v>
      </c>
      <c r="F90" s="83">
        <f t="shared" si="9"/>
        <v>0</v>
      </c>
      <c r="G90" s="84" t="e">
        <f>IF(#REF!="mg","ton",IF(#REF!="kl","kgal",IF(#REF!="m3","cy",IF(#REF!="m2","sy",IF(#REF!="m","lf",IF(#REF!="m3","cy",#REF!))))))</f>
        <v>#REF!</v>
      </c>
      <c r="H90" s="85" t="e">
        <f>IF(#REF!="mg",#REF!*0.9071847,IF(#REF!="kl",#REF!*3.785412,IF(#REF!="m3",#REF!*0.7645549,IF(#REF!="M2",#REF!*0.8361274,IF(#REF!="m",#REF!*0.3048,#REF!)))))</f>
        <v>#REF!</v>
      </c>
    </row>
    <row r="91" spans="1:8" s="26" customFormat="1" ht="12.75">
      <c r="A91" s="81">
        <f t="shared" si="10"/>
        <v>74</v>
      </c>
      <c r="B91" s="74" t="s">
        <v>122</v>
      </c>
      <c r="C91" s="75" t="s">
        <v>40</v>
      </c>
      <c r="D91" s="76"/>
      <c r="E91" s="87">
        <v>1100</v>
      </c>
      <c r="F91" s="83">
        <f t="shared" si="9"/>
        <v>0</v>
      </c>
      <c r="G91" s="84"/>
      <c r="H91" s="85"/>
    </row>
    <row r="92" spans="1:8" s="26" customFormat="1" ht="12.75">
      <c r="A92" s="81">
        <f t="shared" si="10"/>
        <v>75</v>
      </c>
      <c r="B92" s="74" t="s">
        <v>123</v>
      </c>
      <c r="C92" s="75" t="s">
        <v>40</v>
      </c>
      <c r="D92" s="76"/>
      <c r="E92" s="87">
        <v>1188</v>
      </c>
      <c r="F92" s="83">
        <f t="shared" si="9"/>
        <v>0</v>
      </c>
      <c r="G92" s="84"/>
      <c r="H92" s="85"/>
    </row>
    <row r="93" spans="1:8" s="26" customFormat="1" ht="12.75">
      <c r="A93" s="81">
        <f t="shared" si="10"/>
        <v>76</v>
      </c>
      <c r="B93" s="74" t="s">
        <v>124</v>
      </c>
      <c r="C93" s="75" t="s">
        <v>40</v>
      </c>
      <c r="D93" s="76"/>
      <c r="E93" s="87">
        <v>1140</v>
      </c>
      <c r="F93" s="83">
        <f t="shared" si="9"/>
        <v>0</v>
      </c>
      <c r="G93" s="84" t="str">
        <f>IF(C86="mg","ton",IF(C86="kl","kgal",IF(C86="m3","cy",IF(C86="m2","sy",IF(C86="m","lf",IF(C86="m3","cy",C86))))))</f>
        <v>each</v>
      </c>
      <c r="H93" s="85">
        <f>IF(C86="mg",E86*0.9071847,IF(C86="kl",E86*3.785412,IF(C86="m3",E86*0.7645549,IF(C86="M2",E86*0.8361274,IF(C86="m",E86*0.3048,E86)))))</f>
        <v>100000</v>
      </c>
    </row>
    <row r="94" spans="1:8" s="26" customFormat="1" ht="12.75">
      <c r="A94" s="81">
        <f t="shared" si="10"/>
        <v>77</v>
      </c>
      <c r="B94" s="74" t="s">
        <v>125</v>
      </c>
      <c r="C94" s="75" t="s">
        <v>40</v>
      </c>
      <c r="D94" s="76"/>
      <c r="E94" s="87">
        <v>1025</v>
      </c>
      <c r="F94" s="83">
        <f t="shared" si="9"/>
        <v>0</v>
      </c>
      <c r="G94" s="84"/>
      <c r="H94" s="85"/>
    </row>
    <row r="95" spans="1:9" s="26" customFormat="1" ht="12.75">
      <c r="A95" s="81">
        <f t="shared" si="10"/>
        <v>78</v>
      </c>
      <c r="B95" s="74" t="s">
        <v>126</v>
      </c>
      <c r="C95" s="75" t="s">
        <v>40</v>
      </c>
      <c r="D95" s="76">
        <v>2</v>
      </c>
      <c r="E95" s="87">
        <v>1065</v>
      </c>
      <c r="F95" s="83">
        <f t="shared" si="9"/>
        <v>2130</v>
      </c>
      <c r="G95" s="84"/>
      <c r="H95" s="85"/>
      <c r="I95" s="26" t="s">
        <v>127</v>
      </c>
    </row>
    <row r="96" spans="1:8" s="26" customFormat="1" ht="12.75">
      <c r="A96" s="81">
        <f t="shared" si="10"/>
        <v>79</v>
      </c>
      <c r="B96" s="74" t="s">
        <v>128</v>
      </c>
      <c r="C96" s="75" t="s">
        <v>40</v>
      </c>
      <c r="D96" s="76"/>
      <c r="E96" s="87">
        <v>1150</v>
      </c>
      <c r="F96" s="83">
        <f t="shared" si="9"/>
        <v>0</v>
      </c>
      <c r="G96" s="84"/>
      <c r="H96" s="85"/>
    </row>
    <row r="97" spans="1:8" s="26" customFormat="1" ht="12.75">
      <c r="A97" s="81">
        <f t="shared" si="10"/>
        <v>80</v>
      </c>
      <c r="B97" s="74" t="s">
        <v>129</v>
      </c>
      <c r="C97" s="75" t="s">
        <v>40</v>
      </c>
      <c r="D97" s="76"/>
      <c r="E97" s="87">
        <v>790</v>
      </c>
      <c r="F97" s="83">
        <f t="shared" si="9"/>
        <v>0</v>
      </c>
      <c r="G97" s="84"/>
      <c r="H97" s="85"/>
    </row>
    <row r="98" spans="1:8" s="26" customFormat="1" ht="12.75">
      <c r="A98" s="81">
        <f t="shared" si="10"/>
        <v>81</v>
      </c>
      <c r="B98" s="74" t="s">
        <v>130</v>
      </c>
      <c r="C98" s="75" t="s">
        <v>42</v>
      </c>
      <c r="D98" s="76"/>
      <c r="E98" s="87">
        <v>4.25</v>
      </c>
      <c r="F98" s="83">
        <f t="shared" si="9"/>
        <v>0</v>
      </c>
      <c r="G98" s="84"/>
      <c r="H98" s="85"/>
    </row>
    <row r="99" spans="1:8" s="26" customFormat="1" ht="12.75">
      <c r="A99" s="81">
        <f t="shared" si="10"/>
        <v>82</v>
      </c>
      <c r="B99" s="74" t="s">
        <v>131</v>
      </c>
      <c r="C99" s="75" t="s">
        <v>40</v>
      </c>
      <c r="D99" s="76"/>
      <c r="E99" s="87">
        <v>235</v>
      </c>
      <c r="F99" s="83">
        <f t="shared" si="9"/>
        <v>0</v>
      </c>
      <c r="G99" s="84"/>
      <c r="H99" s="85"/>
    </row>
    <row r="100" spans="1:8" s="26" customFormat="1" ht="12.75">
      <c r="A100" s="81">
        <f t="shared" si="10"/>
        <v>83</v>
      </c>
      <c r="B100" s="74" t="s">
        <v>132</v>
      </c>
      <c r="C100" s="75" t="s">
        <v>40</v>
      </c>
      <c r="D100" s="76"/>
      <c r="E100" s="87">
        <v>500</v>
      </c>
      <c r="F100" s="83">
        <f t="shared" si="9"/>
        <v>0</v>
      </c>
      <c r="G100" s="84"/>
      <c r="H100" s="85"/>
    </row>
    <row r="101" spans="1:8" s="26" customFormat="1" ht="12.75">
      <c r="A101" s="81">
        <f t="shared" si="10"/>
        <v>84</v>
      </c>
      <c r="B101" s="74" t="s">
        <v>133</v>
      </c>
      <c r="C101" s="75" t="s">
        <v>40</v>
      </c>
      <c r="D101" s="76"/>
      <c r="E101" s="87">
        <v>520</v>
      </c>
      <c r="F101" s="83">
        <f t="shared" si="9"/>
        <v>0</v>
      </c>
      <c r="G101" s="84"/>
      <c r="H101" s="85"/>
    </row>
    <row r="102" spans="1:8" s="26" customFormat="1" ht="12.75">
      <c r="A102" s="81">
        <f t="shared" si="10"/>
        <v>85</v>
      </c>
      <c r="B102" s="74" t="s">
        <v>134</v>
      </c>
      <c r="C102" s="75" t="s">
        <v>40</v>
      </c>
      <c r="D102" s="76"/>
      <c r="E102" s="87">
        <v>1415</v>
      </c>
      <c r="F102" s="83">
        <f t="shared" si="9"/>
        <v>0</v>
      </c>
      <c r="G102" s="84"/>
      <c r="H102" s="85"/>
    </row>
    <row r="103" spans="1:9" s="26" customFormat="1" ht="12.75">
      <c r="A103" s="81">
        <f t="shared" si="10"/>
        <v>86</v>
      </c>
      <c r="B103" s="74" t="s">
        <v>135</v>
      </c>
      <c r="C103" s="75" t="s">
        <v>73</v>
      </c>
      <c r="D103" s="76"/>
      <c r="E103" s="87">
        <v>45</v>
      </c>
      <c r="F103" s="83">
        <f t="shared" si="9"/>
        <v>0</v>
      </c>
      <c r="G103" s="84"/>
      <c r="H103" s="85"/>
      <c r="I103" s="26" t="s">
        <v>136</v>
      </c>
    </row>
    <row r="104" spans="1:8" s="26" customFormat="1" ht="12.75">
      <c r="A104" s="81">
        <f t="shared" si="10"/>
        <v>87</v>
      </c>
      <c r="B104" s="74" t="s">
        <v>137</v>
      </c>
      <c r="C104" s="75" t="s">
        <v>35</v>
      </c>
      <c r="D104" s="76"/>
      <c r="E104" s="87">
        <v>0</v>
      </c>
      <c r="F104" s="83">
        <f t="shared" si="9"/>
        <v>0</v>
      </c>
      <c r="G104" s="84"/>
      <c r="H104" s="85"/>
    </row>
    <row r="105" spans="1:8" s="26" customFormat="1" ht="12.75">
      <c r="A105" s="81">
        <f t="shared" si="10"/>
        <v>88</v>
      </c>
      <c r="B105" s="26" t="s">
        <v>138</v>
      </c>
      <c r="C105" s="75" t="s">
        <v>80</v>
      </c>
      <c r="D105" s="76"/>
      <c r="E105" s="83">
        <v>32.15</v>
      </c>
      <c r="F105" s="83">
        <f t="shared" si="9"/>
        <v>0</v>
      </c>
      <c r="G105" s="84" t="str">
        <f>IF(C105="mg","ton",IF(C105="kl","kgal",IF(C105="m3","cy",IF(C105="m2","sy",IF(C105="m","lf",IF(C105="m3","cy",C105))))))</f>
        <v>cuyd</v>
      </c>
      <c r="H105" s="85">
        <f>IF(C105="mg",E105*0.9071847,IF(C105="kl",E105*3.785412,IF(C105="m3",E105*0.7645549,IF(C105="M2",E105*0.8361274,IF(C105="m",E105*0.3048,E105)))))</f>
        <v>32.15</v>
      </c>
    </row>
    <row r="106" spans="1:8" s="26" customFormat="1" ht="12.75">
      <c r="A106" s="81">
        <f t="shared" si="10"/>
        <v>89</v>
      </c>
      <c r="B106" s="26" t="s">
        <v>139</v>
      </c>
      <c r="C106" s="75" t="s">
        <v>80</v>
      </c>
      <c r="D106" s="76"/>
      <c r="E106" s="83">
        <v>38.45</v>
      </c>
      <c r="F106" s="83">
        <f t="shared" si="9"/>
        <v>0</v>
      </c>
      <c r="G106" s="84" t="str">
        <f>IF(C106="mg","ton",IF(C106="kl","kgal",IF(C106="m3","cy",IF(C106="m2","sy",IF(C106="m","lf",IF(C106="m3","cy",C106))))))</f>
        <v>cuyd</v>
      </c>
      <c r="H106" s="85">
        <f>IF(C106="mg",E106*0.9071847,IF(C106="kl",E106*3.785412,IF(C106="m3",E106*0.7645549,IF(C106="M2",E106*0.8361274,IF(C106="m",E106*0.3048,E106)))))</f>
        <v>38.45</v>
      </c>
    </row>
    <row r="107" spans="1:8" s="26" customFormat="1" ht="12.75">
      <c r="A107" s="81">
        <f t="shared" si="10"/>
        <v>90</v>
      </c>
      <c r="B107" s="26" t="s">
        <v>140</v>
      </c>
      <c r="C107" s="75" t="s">
        <v>80</v>
      </c>
      <c r="D107" s="76"/>
      <c r="E107" s="83">
        <v>32.3</v>
      </c>
      <c r="F107" s="83">
        <f t="shared" si="9"/>
        <v>0</v>
      </c>
      <c r="G107" s="84"/>
      <c r="H107" s="85"/>
    </row>
    <row r="108" spans="1:8" s="26" customFormat="1" ht="12.75">
      <c r="A108" s="81">
        <f t="shared" si="10"/>
        <v>91</v>
      </c>
      <c r="B108" s="26" t="s">
        <v>141</v>
      </c>
      <c r="C108" s="75" t="s">
        <v>42</v>
      </c>
      <c r="D108" s="76"/>
      <c r="E108" s="83">
        <v>125.9</v>
      </c>
      <c r="F108" s="83">
        <f t="shared" si="9"/>
        <v>0</v>
      </c>
      <c r="G108" s="84"/>
      <c r="H108" s="85"/>
    </row>
    <row r="109" spans="1:8" s="26" customFormat="1" ht="12.75">
      <c r="A109" s="81">
        <f t="shared" si="10"/>
        <v>92</v>
      </c>
      <c r="B109" s="74" t="s">
        <v>142</v>
      </c>
      <c r="C109" s="75" t="s">
        <v>37</v>
      </c>
      <c r="D109" s="76"/>
      <c r="E109" s="87">
        <v>35</v>
      </c>
      <c r="F109" s="83">
        <f t="shared" si="9"/>
        <v>0</v>
      </c>
      <c r="G109" s="84"/>
      <c r="H109" s="85"/>
    </row>
    <row r="110" spans="1:8" s="26" customFormat="1" ht="12.75">
      <c r="A110" s="81">
        <f t="shared" si="10"/>
        <v>93</v>
      </c>
      <c r="B110" s="74" t="s">
        <v>143</v>
      </c>
      <c r="C110" s="75" t="s">
        <v>37</v>
      </c>
      <c r="D110" s="76"/>
      <c r="E110" s="87">
        <v>19.15</v>
      </c>
      <c r="F110" s="83">
        <f t="shared" si="9"/>
        <v>0</v>
      </c>
      <c r="G110" s="84"/>
      <c r="H110" s="85"/>
    </row>
    <row r="111" spans="1:8" s="26" customFormat="1" ht="12.75">
      <c r="A111" s="81">
        <f t="shared" si="10"/>
        <v>94</v>
      </c>
      <c r="B111" s="26" t="s">
        <v>144</v>
      </c>
      <c r="C111" s="75" t="s">
        <v>37</v>
      </c>
      <c r="D111" s="76"/>
      <c r="E111" s="83">
        <v>55.75</v>
      </c>
      <c r="F111" s="83">
        <f t="shared" si="9"/>
        <v>0</v>
      </c>
      <c r="G111" s="84"/>
      <c r="H111" s="85"/>
    </row>
    <row r="112" spans="1:8" s="26" customFormat="1" ht="12.75">
      <c r="A112" s="81">
        <f t="shared" si="10"/>
        <v>95</v>
      </c>
      <c r="B112" s="26" t="s">
        <v>145</v>
      </c>
      <c r="C112" s="75" t="s">
        <v>37</v>
      </c>
      <c r="D112" s="76"/>
      <c r="E112" s="83">
        <v>22.3</v>
      </c>
      <c r="F112" s="83">
        <f aca="true" t="shared" si="11" ref="F112:F143">D112*E112</f>
        <v>0</v>
      </c>
      <c r="G112" s="84"/>
      <c r="H112" s="85"/>
    </row>
    <row r="113" spans="1:9" s="26" customFormat="1" ht="12.75">
      <c r="A113" s="81">
        <f t="shared" si="10"/>
        <v>96</v>
      </c>
      <c r="B113" s="74" t="s">
        <v>146</v>
      </c>
      <c r="C113" s="75" t="s">
        <v>37</v>
      </c>
      <c r="D113" s="76">
        <v>550</v>
      </c>
      <c r="E113" s="87">
        <v>28.15</v>
      </c>
      <c r="F113" s="83">
        <f t="shared" si="11"/>
        <v>15482.5</v>
      </c>
      <c r="G113" s="84"/>
      <c r="H113" s="85"/>
      <c r="I113" s="26" t="s">
        <v>147</v>
      </c>
    </row>
    <row r="114" spans="1:8" s="26" customFormat="1" ht="12.75">
      <c r="A114" s="81">
        <f t="shared" si="10"/>
        <v>97</v>
      </c>
      <c r="B114" s="74" t="s">
        <v>148</v>
      </c>
      <c r="C114" s="75" t="s">
        <v>37</v>
      </c>
      <c r="D114" s="76"/>
      <c r="E114" s="87">
        <v>125</v>
      </c>
      <c r="F114" s="83">
        <f t="shared" si="11"/>
        <v>0</v>
      </c>
      <c r="G114" s="84"/>
      <c r="H114" s="85"/>
    </row>
    <row r="115" spans="1:8" s="26" customFormat="1" ht="12.75">
      <c r="A115" s="81">
        <f t="shared" si="10"/>
        <v>98</v>
      </c>
      <c r="B115" s="74" t="s">
        <v>149</v>
      </c>
      <c r="C115" s="75" t="s">
        <v>37</v>
      </c>
      <c r="D115" s="76"/>
      <c r="E115" s="87">
        <v>12.1</v>
      </c>
      <c r="F115" s="83">
        <f t="shared" si="11"/>
        <v>0</v>
      </c>
      <c r="G115" s="84"/>
      <c r="H115" s="85"/>
    </row>
    <row r="116" spans="1:8" s="74" customFormat="1" ht="12.75">
      <c r="A116" s="73">
        <f t="shared" si="10"/>
        <v>99</v>
      </c>
      <c r="B116" s="74" t="s">
        <v>150</v>
      </c>
      <c r="C116" s="75" t="s">
        <v>42</v>
      </c>
      <c r="D116" s="95"/>
      <c r="E116" s="96">
        <v>1220</v>
      </c>
      <c r="F116" s="78">
        <f t="shared" si="11"/>
        <v>0</v>
      </c>
      <c r="G116" s="24"/>
      <c r="H116" s="79"/>
    </row>
    <row r="117" spans="1:8" s="26" customFormat="1" ht="12.75">
      <c r="A117" s="81">
        <f t="shared" si="10"/>
        <v>100</v>
      </c>
      <c r="B117" s="74" t="s">
        <v>151</v>
      </c>
      <c r="C117" s="75" t="s">
        <v>37</v>
      </c>
      <c r="D117" s="76"/>
      <c r="E117" s="87">
        <v>0.17</v>
      </c>
      <c r="F117" s="83">
        <f t="shared" si="11"/>
        <v>0</v>
      </c>
      <c r="G117" s="84" t="str">
        <f>IF(C117="mg","ton",IF(C117="kl","kgal",IF(C117="m3","cy",IF(C117="m2","sy",IF(C117="m","lf",IF(C117="m3","cy",C117))))))</f>
        <v>sqft</v>
      </c>
      <c r="H117" s="85">
        <f>IF(C117="mg",E117*0.9071847,IF(C117="kl",E117*3.785412,IF(C117="m3",E117*0.7645549,IF(C117="M2",E117*0.8361274,IF(C117="m",E117*0.3048,E117)))))</f>
        <v>0.17</v>
      </c>
    </row>
    <row r="118" spans="1:8" s="26" customFormat="1" ht="12.75">
      <c r="A118" s="81">
        <f t="shared" si="10"/>
        <v>101</v>
      </c>
      <c r="B118" s="26" t="s">
        <v>152</v>
      </c>
      <c r="C118" s="75" t="s">
        <v>96</v>
      </c>
      <c r="D118" s="76"/>
      <c r="E118" s="87">
        <v>18</v>
      </c>
      <c r="F118" s="83">
        <f t="shared" si="11"/>
        <v>0</v>
      </c>
      <c r="G118" s="84" t="str">
        <f>IF(C118="mg","ton",IF(C118="kl","kgal",IF(C118="m3","cy",IF(C118="m2","sy",IF(C118="m","lf",IF(C118="m3","cy",C118))))))</f>
        <v>ton</v>
      </c>
      <c r="H118" s="85">
        <f>IF(C118="mg",E118*0.9071847,IF(C118="kl",E118*3.785412,IF(C118="m3",E118*0.7645549,IF(C118="M2",E118*0.8361274,IF(C118="m",E118*0.3048,E118)))))</f>
        <v>18</v>
      </c>
    </row>
    <row r="119" spans="1:8" s="26" customFormat="1" ht="12.75">
      <c r="A119" s="81">
        <f t="shared" si="10"/>
        <v>102</v>
      </c>
      <c r="B119" s="26" t="s">
        <v>153</v>
      </c>
      <c r="C119" s="75" t="s">
        <v>96</v>
      </c>
      <c r="D119" s="76">
        <v>390</v>
      </c>
      <c r="E119" s="87">
        <v>14.9</v>
      </c>
      <c r="F119" s="83">
        <f t="shared" si="11"/>
        <v>5811</v>
      </c>
      <c r="G119" s="84"/>
      <c r="H119" s="85"/>
    </row>
    <row r="120" spans="1:8" s="26" customFormat="1" ht="12.75">
      <c r="A120" s="81">
        <f t="shared" si="10"/>
        <v>103</v>
      </c>
      <c r="B120" s="26" t="s">
        <v>154</v>
      </c>
      <c r="C120" s="75" t="s">
        <v>96</v>
      </c>
      <c r="D120" s="76"/>
      <c r="E120" s="87">
        <v>55</v>
      </c>
      <c r="F120" s="97">
        <f t="shared" si="11"/>
        <v>0</v>
      </c>
      <c r="G120" s="84"/>
      <c r="H120" s="85"/>
    </row>
    <row r="121" spans="1:8" s="26" customFormat="1" ht="12.75">
      <c r="A121" s="81">
        <f t="shared" si="10"/>
        <v>104</v>
      </c>
      <c r="B121" s="98" t="s">
        <v>155</v>
      </c>
      <c r="C121" s="99" t="s">
        <v>96</v>
      </c>
      <c r="D121" s="76"/>
      <c r="E121" s="100">
        <v>41.85</v>
      </c>
      <c r="F121" s="97">
        <f t="shared" si="11"/>
        <v>0</v>
      </c>
      <c r="G121" s="84"/>
      <c r="H121" s="85"/>
    </row>
    <row r="122" spans="1:8" s="26" customFormat="1" ht="12.75">
      <c r="A122" s="101">
        <f aca="true" t="shared" si="12" ref="A122:A153">A121+1</f>
        <v>105</v>
      </c>
      <c r="B122" s="98" t="s">
        <v>156</v>
      </c>
      <c r="C122" s="99" t="s">
        <v>96</v>
      </c>
      <c r="D122" s="76">
        <v>190</v>
      </c>
      <c r="E122" s="100">
        <v>36.75</v>
      </c>
      <c r="F122" s="97">
        <f t="shared" si="11"/>
        <v>6982.5</v>
      </c>
      <c r="G122" s="84"/>
      <c r="H122" s="85"/>
    </row>
    <row r="123" spans="1:8" s="104" customFormat="1" ht="12.75">
      <c r="A123" s="101">
        <f t="shared" si="12"/>
        <v>106</v>
      </c>
      <c r="B123" s="98" t="s">
        <v>157</v>
      </c>
      <c r="C123" s="99" t="s">
        <v>96</v>
      </c>
      <c r="D123" s="76"/>
      <c r="E123" s="100">
        <v>44.25</v>
      </c>
      <c r="F123" s="97">
        <f t="shared" si="11"/>
        <v>0</v>
      </c>
      <c r="G123" s="102" t="str">
        <f>IF(C123="mg","ton",IF(C123="kl","kgal",IF(C123="m3","cy",IF(C123="m2","sy",IF(C123="m","lf",IF(C123="m3","cy",C123))))))</f>
        <v>ton</v>
      </c>
      <c r="H123" s="103">
        <f>IF(C123="mg",E123*0.9071847,IF(C123="kl",E123*3.785412,IF(C123="m3",E123*0.7645549,IF(C123="M2",E123*0.8361274,IF(C123="m",E123*0.3048,E123)))))</f>
        <v>44.25</v>
      </c>
    </row>
    <row r="124" spans="1:8" s="104" customFormat="1" ht="12.75">
      <c r="A124" s="101">
        <f t="shared" si="12"/>
        <v>107</v>
      </c>
      <c r="B124" s="98" t="s">
        <v>158</v>
      </c>
      <c r="C124" s="99" t="s">
        <v>96</v>
      </c>
      <c r="D124" s="76"/>
      <c r="E124" s="100">
        <v>43</v>
      </c>
      <c r="F124" s="97">
        <f t="shared" si="11"/>
        <v>0</v>
      </c>
      <c r="G124" s="102" t="str">
        <f>IF(C124="mg","ton",IF(C124="kl","kgal",IF(C124="m3","cy",IF(C124="m2","sy",IF(C124="m","lf",IF(C124="m3","cy",C124))))))</f>
        <v>ton</v>
      </c>
      <c r="H124" s="103">
        <f>IF(C124="mg",E124*0.9071847,IF(C124="kl",E124*3.785412,IF(C124="m3",E124*0.7645549,IF(C124="M2",E124*0.8361274,IF(C124="m",E124*0.3048,E124)))))</f>
        <v>43</v>
      </c>
    </row>
    <row r="125" spans="1:8" s="104" customFormat="1" ht="12.75">
      <c r="A125" s="101">
        <f t="shared" si="12"/>
        <v>108</v>
      </c>
      <c r="B125" s="98" t="s">
        <v>159</v>
      </c>
      <c r="C125" s="99" t="s">
        <v>96</v>
      </c>
      <c r="D125" s="76"/>
      <c r="E125" s="87">
        <v>197</v>
      </c>
      <c r="F125" s="97">
        <f t="shared" si="11"/>
        <v>0</v>
      </c>
      <c r="G125" s="102"/>
      <c r="H125" s="103"/>
    </row>
    <row r="126" spans="1:8" s="104" customFormat="1" ht="12.75">
      <c r="A126" s="101">
        <f t="shared" si="12"/>
        <v>109</v>
      </c>
      <c r="B126" s="98" t="s">
        <v>160</v>
      </c>
      <c r="C126" s="99" t="s">
        <v>96</v>
      </c>
      <c r="D126" s="76"/>
      <c r="E126" s="87">
        <v>239</v>
      </c>
      <c r="F126" s="97">
        <f t="shared" si="11"/>
        <v>0</v>
      </c>
      <c r="G126" s="102"/>
      <c r="H126" s="103"/>
    </row>
    <row r="127" spans="1:8" s="26" customFormat="1" ht="12.75">
      <c r="A127" s="101">
        <f t="shared" si="12"/>
        <v>110</v>
      </c>
      <c r="B127" s="74" t="s">
        <v>161</v>
      </c>
      <c r="C127" s="75" t="s">
        <v>40</v>
      </c>
      <c r="D127" s="76"/>
      <c r="E127" s="87">
        <v>371</v>
      </c>
      <c r="F127" s="83">
        <f t="shared" si="11"/>
        <v>0</v>
      </c>
      <c r="G127" s="84" t="str">
        <f>IF(C127="mg","ton",IF(C127="kl","kgal",IF(C127="m3","cy",IF(C127="m2","sy",IF(C127="m","lf",IF(C127="m3","cy",C127))))))</f>
        <v>each</v>
      </c>
      <c r="H127" s="85">
        <f>IF(C127="mg",E127*0.9071847,IF(C127="kl",E127*3.785412,IF(C127="m3",E127*0.7645549,IF(C127="M2",E127*0.8361274,IF(C127="m",E127*0.3048,E127)))))</f>
        <v>371</v>
      </c>
    </row>
    <row r="128" spans="1:8" s="26" customFormat="1" ht="12.75">
      <c r="A128" s="101">
        <f t="shared" si="12"/>
        <v>111</v>
      </c>
      <c r="B128" s="74" t="s">
        <v>162</v>
      </c>
      <c r="C128" s="75" t="s">
        <v>73</v>
      </c>
      <c r="D128" s="76"/>
      <c r="E128" s="87">
        <v>27</v>
      </c>
      <c r="F128" s="83">
        <f t="shared" si="11"/>
        <v>0</v>
      </c>
      <c r="G128" s="84" t="str">
        <f>IF(C128="mg","ton",IF(C128="kl","kgal",IF(C128="m3","cy",IF(C128="m2","sy",IF(C128="m","lf",IF(C128="m3","cy",C128))))))</f>
        <v>sqyd</v>
      </c>
      <c r="H128" s="85">
        <f>IF(C128="mg",E128*0.9071847,IF(C128="kl",E128*3.785412,IF(C128="m3",E128*0.7645549,IF(C128="M2",E128*0.8361274,IF(C128="m",E128*0.3048,E128)))))</f>
        <v>27</v>
      </c>
    </row>
    <row r="129" spans="1:8" s="26" customFormat="1" ht="12.75">
      <c r="A129" s="101">
        <f t="shared" si="12"/>
        <v>112</v>
      </c>
      <c r="B129" s="74" t="s">
        <v>163</v>
      </c>
      <c r="C129" s="75" t="s">
        <v>73</v>
      </c>
      <c r="D129" s="76"/>
      <c r="E129" s="87">
        <v>58</v>
      </c>
      <c r="F129" s="83">
        <f t="shared" si="11"/>
        <v>0</v>
      </c>
      <c r="G129" s="84"/>
      <c r="H129" s="85"/>
    </row>
    <row r="130" spans="1:8" s="26" customFormat="1" ht="12.75">
      <c r="A130" s="81">
        <f t="shared" si="12"/>
        <v>113</v>
      </c>
      <c r="B130" s="74" t="s">
        <v>164</v>
      </c>
      <c r="C130" s="75" t="s">
        <v>42</v>
      </c>
      <c r="D130" s="76"/>
      <c r="E130" s="87">
        <v>13</v>
      </c>
      <c r="F130" s="83">
        <f t="shared" si="11"/>
        <v>0</v>
      </c>
      <c r="G130" s="84"/>
      <c r="H130" s="85"/>
    </row>
    <row r="131" spans="1:8" s="26" customFormat="1" ht="12.75">
      <c r="A131" s="81">
        <f t="shared" si="12"/>
        <v>114</v>
      </c>
      <c r="B131" s="74" t="s">
        <v>165</v>
      </c>
      <c r="C131" s="75" t="s">
        <v>42</v>
      </c>
      <c r="D131" s="76">
        <v>160</v>
      </c>
      <c r="E131" s="87">
        <v>8.4</v>
      </c>
      <c r="F131" s="83">
        <f t="shared" si="11"/>
        <v>1344</v>
      </c>
      <c r="G131" s="84"/>
      <c r="H131" s="85"/>
    </row>
    <row r="132" spans="1:8" s="26" customFormat="1" ht="12.75">
      <c r="A132" s="81">
        <f t="shared" si="12"/>
        <v>115</v>
      </c>
      <c r="B132" s="74" t="s">
        <v>166</v>
      </c>
      <c r="C132" s="75" t="s">
        <v>37</v>
      </c>
      <c r="D132" s="76"/>
      <c r="E132" s="87">
        <v>5.4</v>
      </c>
      <c r="F132" s="83">
        <f t="shared" si="11"/>
        <v>0</v>
      </c>
      <c r="G132" s="84"/>
      <c r="H132" s="85"/>
    </row>
    <row r="133" spans="1:9" s="26" customFormat="1" ht="12.75">
      <c r="A133" s="81">
        <f t="shared" si="12"/>
        <v>116</v>
      </c>
      <c r="B133" s="74" t="s">
        <v>167</v>
      </c>
      <c r="C133" s="75" t="s">
        <v>37</v>
      </c>
      <c r="D133" s="76">
        <v>300</v>
      </c>
      <c r="E133" s="87">
        <v>3.5</v>
      </c>
      <c r="F133" s="83">
        <f t="shared" si="11"/>
        <v>1050</v>
      </c>
      <c r="G133" s="84"/>
      <c r="H133" s="85"/>
      <c r="I133" s="26" t="s">
        <v>168</v>
      </c>
    </row>
    <row r="134" spans="1:8" s="26" customFormat="1" ht="12.75">
      <c r="A134" s="81">
        <f t="shared" si="12"/>
        <v>117</v>
      </c>
      <c r="B134" s="74" t="s">
        <v>169</v>
      </c>
      <c r="C134" s="75" t="s">
        <v>37</v>
      </c>
      <c r="D134" s="76"/>
      <c r="E134" s="87">
        <v>4.1</v>
      </c>
      <c r="F134" s="83">
        <f t="shared" si="11"/>
        <v>0</v>
      </c>
      <c r="G134" s="84"/>
      <c r="H134" s="85"/>
    </row>
    <row r="135" spans="1:8" s="26" customFormat="1" ht="12.75">
      <c r="A135" s="101">
        <f t="shared" si="12"/>
        <v>118</v>
      </c>
      <c r="B135" s="74" t="s">
        <v>170</v>
      </c>
      <c r="C135" s="75" t="s">
        <v>37</v>
      </c>
      <c r="D135" s="76">
        <v>213</v>
      </c>
      <c r="E135" s="87">
        <v>2.8</v>
      </c>
      <c r="F135" s="83">
        <f t="shared" si="11"/>
        <v>596.4</v>
      </c>
      <c r="G135" s="84" t="str">
        <f>IF(C135="mg","ton",IF(C135="kl","kgal",IF(C135="m3","cy",IF(C135="m2","sy",IF(C135="m","lf",IF(C135="m3","cy",C135))))))</f>
        <v>sqft</v>
      </c>
      <c r="H135" s="85">
        <f>IF(C135="mg",E135*0.9071847,IF(C135="kl",E135*3.785412,IF(C135="m3",E135*0.7645549,IF(C135="M2",E135*0.8361274,IF(C135="m",E135*0.3048,E135)))))</f>
        <v>2.8</v>
      </c>
    </row>
    <row r="136" spans="1:8" s="26" customFormat="1" ht="12.75">
      <c r="A136" s="101">
        <f t="shared" si="12"/>
        <v>119</v>
      </c>
      <c r="B136" s="74" t="s">
        <v>171</v>
      </c>
      <c r="C136" s="75" t="s">
        <v>37</v>
      </c>
      <c r="D136" s="76"/>
      <c r="E136" s="87">
        <v>4.8</v>
      </c>
      <c r="F136" s="83">
        <f t="shared" si="11"/>
        <v>0</v>
      </c>
      <c r="G136" s="84"/>
      <c r="H136" s="85"/>
    </row>
    <row r="137" spans="1:8" s="26" customFormat="1" ht="12.75">
      <c r="A137" s="101">
        <f t="shared" si="12"/>
        <v>120</v>
      </c>
      <c r="B137" s="74" t="s">
        <v>172</v>
      </c>
      <c r="C137" s="75" t="s">
        <v>40</v>
      </c>
      <c r="D137" s="76"/>
      <c r="E137" s="87">
        <v>163</v>
      </c>
      <c r="F137" s="83">
        <f t="shared" si="11"/>
        <v>0</v>
      </c>
      <c r="G137" s="84" t="str">
        <f>IF(C137="mg","ton",IF(C137="kl","kgal",IF(C137="m3","cy",IF(C137="m2","sy",IF(C137="m","lf",IF(C137="m3","cy",C137))))))</f>
        <v>each</v>
      </c>
      <c r="H137" s="85">
        <f>IF(C137="mg",E137*0.9071847,IF(C137="kl",E137*3.785412,IF(C137="m3",E137*0.7645549,IF(C137="M2",E137*0.8361274,IF(C137="m",E137*0.3048,E137)))))</f>
        <v>163</v>
      </c>
    </row>
    <row r="138" spans="1:8" s="26" customFormat="1" ht="12.75">
      <c r="A138" s="101">
        <f t="shared" si="12"/>
        <v>121</v>
      </c>
      <c r="B138" s="74" t="s">
        <v>173</v>
      </c>
      <c r="C138" s="75" t="s">
        <v>40</v>
      </c>
      <c r="D138" s="76"/>
      <c r="E138" s="87">
        <v>310</v>
      </c>
      <c r="F138" s="83">
        <f t="shared" si="11"/>
        <v>0</v>
      </c>
      <c r="G138" s="84" t="str">
        <f>IF(C138="mg","ton",IF(C138="kl","kgal",IF(C138="m3","cy",IF(C138="m2","sy",IF(C138="m","lf",IF(C138="m3","cy",C138))))))</f>
        <v>each</v>
      </c>
      <c r="H138" s="85">
        <f>IF(C138="mg",E138*0.9071847,IF(C138="kl",E138*3.785412,IF(C138="m3",E138*0.7645549,IF(C138="M2",E138*0.8361274,IF(C138="m",E138*0.3048,E138)))))</f>
        <v>310</v>
      </c>
    </row>
    <row r="139" spans="1:8" s="26" customFormat="1" ht="12.75">
      <c r="A139" s="101">
        <f t="shared" si="12"/>
        <v>122</v>
      </c>
      <c r="B139" s="74" t="s">
        <v>174</v>
      </c>
      <c r="C139" s="75" t="s">
        <v>40</v>
      </c>
      <c r="D139" s="76"/>
      <c r="E139" s="87">
        <v>150</v>
      </c>
      <c r="F139" s="83">
        <f t="shared" si="11"/>
        <v>0</v>
      </c>
      <c r="G139" s="84"/>
      <c r="H139" s="85"/>
    </row>
    <row r="140" spans="1:9" s="26" customFormat="1" ht="12.75" customHeight="1">
      <c r="A140" s="101">
        <f t="shared" si="12"/>
        <v>123</v>
      </c>
      <c r="B140" s="74" t="s">
        <v>175</v>
      </c>
      <c r="C140" s="75" t="s">
        <v>37</v>
      </c>
      <c r="D140" s="76">
        <v>220</v>
      </c>
      <c r="E140" s="87">
        <v>2.75</v>
      </c>
      <c r="F140" s="83">
        <f t="shared" si="11"/>
        <v>605</v>
      </c>
      <c r="G140" s="84" t="str">
        <f>IF(C140="mg","ton",IF(C140="kl","kgal",IF(C140="m3","cy",IF(C140="m2","sy",IF(C140="m","lf",IF(C140="m3","cy",C140))))))</f>
        <v>sqft</v>
      </c>
      <c r="H140" s="85">
        <f>IF(C140="mg",E140*0.9071847,IF(C140="kl",E140*3.785412,IF(C140="m3",E140*0.7645549,IF(C140="M2",E140*0.8361274,IF(C140="m",E140*0.3048,E140)))))</f>
        <v>2.75</v>
      </c>
      <c r="I140" s="81" t="s">
        <v>176</v>
      </c>
    </row>
    <row r="141" spans="1:8" s="26" customFormat="1" ht="12.75">
      <c r="A141" s="101">
        <f t="shared" si="12"/>
        <v>124</v>
      </c>
      <c r="B141" s="74" t="s">
        <v>177</v>
      </c>
      <c r="C141" s="75" t="s">
        <v>40</v>
      </c>
      <c r="D141" s="76"/>
      <c r="E141" s="87">
        <v>3.7</v>
      </c>
      <c r="F141" s="83">
        <f t="shared" si="11"/>
        <v>0</v>
      </c>
      <c r="G141" s="84" t="str">
        <f>IF(C141="mg","ton",IF(C141="kl","kgal",IF(C141="m3","cy",IF(C141="m2","sy",IF(C141="m","lf",IF(C141="m3","cy",C141))))))</f>
        <v>each</v>
      </c>
      <c r="H141" s="85">
        <f>IF(C141="mg",E141*0.9071847,IF(C141="kl",E141*3.785412,IF(C141="m3",E141*0.7645549,IF(C141="M2",E141*0.8361274,IF(C141="m",E141*0.3048,E141)))))</f>
        <v>3.7</v>
      </c>
    </row>
    <row r="142" spans="1:8" s="26" customFormat="1" ht="12.75">
      <c r="A142" s="101">
        <f t="shared" si="12"/>
        <v>125</v>
      </c>
      <c r="B142" s="74" t="s">
        <v>178</v>
      </c>
      <c r="C142" s="75" t="s">
        <v>40</v>
      </c>
      <c r="D142" s="76"/>
      <c r="E142" s="87">
        <v>3.5</v>
      </c>
      <c r="F142" s="83">
        <f t="shared" si="11"/>
        <v>0</v>
      </c>
      <c r="G142" s="84" t="str">
        <f>IF(C142="mg","ton",IF(C142="kl","kgal",IF(C142="m3","cy",IF(C142="m2","sy",IF(C142="m","lf",IF(C142="m3","cy",C142))))))</f>
        <v>each</v>
      </c>
      <c r="H142" s="85">
        <f>IF(C142="mg",E142*0.9071847,IF(C142="kl",E142*3.785412,IF(C142="m3",E142*0.7645549,IF(C142="M2",E142*0.8361274,IF(C142="m",E142*0.3048,E142)))))</f>
        <v>3.5</v>
      </c>
    </row>
    <row r="143" spans="1:8" s="26" customFormat="1" ht="12.75">
      <c r="A143" s="101">
        <f t="shared" si="12"/>
        <v>126</v>
      </c>
      <c r="B143" s="74" t="s">
        <v>179</v>
      </c>
      <c r="C143" s="75" t="s">
        <v>35</v>
      </c>
      <c r="D143" s="76"/>
      <c r="E143" s="87">
        <v>100</v>
      </c>
      <c r="F143" s="83">
        <f t="shared" si="11"/>
        <v>0</v>
      </c>
      <c r="G143" s="84"/>
      <c r="H143" s="85"/>
    </row>
    <row r="144" spans="1:8" s="26" customFormat="1" ht="12.75">
      <c r="A144" s="101">
        <f t="shared" si="12"/>
        <v>127</v>
      </c>
      <c r="B144" s="74" t="s">
        <v>180</v>
      </c>
      <c r="C144" s="75" t="s">
        <v>35</v>
      </c>
      <c r="D144" s="76"/>
      <c r="E144" s="87">
        <v>20</v>
      </c>
      <c r="F144" s="83">
        <f aca="true" t="shared" si="13" ref="F144:F164">D144*E144</f>
        <v>0</v>
      </c>
      <c r="G144" s="84" t="str">
        <f>IF(C144="mg","ton",IF(C144="kl","kgal",IF(C144="m3","cy",IF(C144="m2","sy",IF(C144="m","lf",IF(C144="m3","cy",C144))))))</f>
        <v>ls</v>
      </c>
      <c r="H144" s="85">
        <f>IF(C144="mg",E144*0.9071847,IF(C144="kl",E144*3.785412,IF(C144="m3",E144*0.7645549,IF(C144="M2",E144*0.8361274,IF(C144="m",E144*0.3048,E144)))))</f>
        <v>20</v>
      </c>
    </row>
    <row r="145" spans="1:8" s="26" customFormat="1" ht="12.75">
      <c r="A145" s="101">
        <f t="shared" si="12"/>
        <v>128</v>
      </c>
      <c r="B145" s="74" t="s">
        <v>181</v>
      </c>
      <c r="C145" s="75" t="s">
        <v>35</v>
      </c>
      <c r="D145" s="76"/>
      <c r="E145" s="87">
        <v>70</v>
      </c>
      <c r="F145" s="83">
        <f t="shared" si="13"/>
        <v>0</v>
      </c>
      <c r="G145" s="84" t="str">
        <f>IF(C145="mg","ton",IF(C145="kl","kgal",IF(C145="m3","cy",IF(C145="m2","sy",IF(C145="m","lf",IF(C145="m3","cy",C145))))))</f>
        <v>ls</v>
      </c>
      <c r="H145" s="85">
        <f>IF(C145="mg",E145*0.9071847,IF(C145="kl",E145*3.785412,IF(C145="m3",E145*0.7645549,IF(C145="M2",E145*0.8361274,IF(C145="m",E145*0.3048,E145)))))</f>
        <v>70</v>
      </c>
    </row>
    <row r="146" spans="1:8" s="26" customFormat="1" ht="12.75">
      <c r="A146" s="101">
        <f t="shared" si="12"/>
        <v>129</v>
      </c>
      <c r="B146" s="74" t="s">
        <v>182</v>
      </c>
      <c r="C146" s="75" t="s">
        <v>35</v>
      </c>
      <c r="D146" s="76"/>
      <c r="E146" s="87">
        <v>500</v>
      </c>
      <c r="F146" s="83">
        <f t="shared" si="13"/>
        <v>0</v>
      </c>
      <c r="G146" s="84"/>
      <c r="H146" s="85"/>
    </row>
    <row r="147" spans="1:8" s="26" customFormat="1" ht="12.75">
      <c r="A147" s="101">
        <f t="shared" si="12"/>
        <v>130</v>
      </c>
      <c r="B147" s="74" t="s">
        <v>183</v>
      </c>
      <c r="C147" s="75" t="s">
        <v>35</v>
      </c>
      <c r="D147" s="76"/>
      <c r="E147" s="87">
        <v>114</v>
      </c>
      <c r="F147" s="83">
        <f t="shared" si="13"/>
        <v>0</v>
      </c>
      <c r="G147" s="84" t="str">
        <f>IF(C147="mg","ton",IF(C147="kl","kgal",IF(C147="m3","cy",IF(C147="m2","sy",IF(C147="m","lf",IF(C147="m3","cy",C147))))))</f>
        <v>ls</v>
      </c>
      <c r="H147" s="85">
        <f>IF(C147="mg",E147*0.9071847,IF(C147="kl",E147*3.785412,IF(C147="m3",E147*0.7645549,IF(C147="M2",E147*0.8361274,IF(C147="m",E147*0.3048,E147)))))</f>
        <v>114</v>
      </c>
    </row>
    <row r="148" spans="1:8" s="26" customFormat="1" ht="12.75">
      <c r="A148" s="101">
        <f t="shared" si="12"/>
        <v>131</v>
      </c>
      <c r="B148" s="74" t="s">
        <v>184</v>
      </c>
      <c r="C148" s="75" t="s">
        <v>35</v>
      </c>
      <c r="D148" s="76"/>
      <c r="E148" s="87">
        <v>750</v>
      </c>
      <c r="F148" s="83">
        <f t="shared" si="13"/>
        <v>0</v>
      </c>
      <c r="G148" s="84" t="str">
        <f>IF(C146="mg","ton",IF(C146="kl","kgal",IF(C146="m3","cy",IF(C146="m2","sy",IF(C146="m","lf",IF(C146="m3","cy",C146))))))</f>
        <v>ls</v>
      </c>
      <c r="H148" s="85">
        <f>IF(C146="mg",E146*0.9071847,IF(C146="kl",E146*3.785412,IF(C146="m3",E146*0.7645549,IF(C146="M2",E146*0.8361274,IF(C146="m",E146*0.3048,E146)))))</f>
        <v>500</v>
      </c>
    </row>
    <row r="149" spans="1:9" s="26" customFormat="1" ht="12.75">
      <c r="A149" s="101">
        <f t="shared" si="12"/>
        <v>132</v>
      </c>
      <c r="B149" s="74" t="s">
        <v>185</v>
      </c>
      <c r="C149" s="75" t="s">
        <v>37</v>
      </c>
      <c r="D149" s="76">
        <v>18</v>
      </c>
      <c r="E149" s="87">
        <v>23.5</v>
      </c>
      <c r="F149" s="83">
        <f t="shared" si="13"/>
        <v>423</v>
      </c>
      <c r="G149" s="84" t="str">
        <f aca="true" t="shared" si="14" ref="G149:G156">IF(C149="mg","ton",IF(C149="kl","kgal",IF(C149="m3","cy",IF(C149="m2","sy",IF(C149="m","lf",IF(C149="m3","cy",C149))))))</f>
        <v>sqft</v>
      </c>
      <c r="H149" s="85">
        <f aca="true" t="shared" si="15" ref="H149:H156">IF(C149="mg",E149*0.9071847,IF(C149="kl",E149*3.785412,IF(C149="m3",E149*0.7645549,IF(C149="M2",E149*0.8361274,IF(C149="m",E149*0.3048,E149)))))</f>
        <v>23.5</v>
      </c>
      <c r="I149" s="26" t="s">
        <v>186</v>
      </c>
    </row>
    <row r="150" spans="1:8" s="26" customFormat="1" ht="12.75">
      <c r="A150" s="101">
        <f t="shared" si="12"/>
        <v>133</v>
      </c>
      <c r="B150" s="74" t="s">
        <v>187</v>
      </c>
      <c r="C150" s="75" t="s">
        <v>37</v>
      </c>
      <c r="D150" s="76"/>
      <c r="E150" s="87">
        <v>17.65</v>
      </c>
      <c r="F150" s="83">
        <f t="shared" si="13"/>
        <v>0</v>
      </c>
      <c r="G150" s="84" t="str">
        <f t="shared" si="14"/>
        <v>sqft</v>
      </c>
      <c r="H150" s="85">
        <f t="shared" si="15"/>
        <v>17.65</v>
      </c>
    </row>
    <row r="151" spans="1:8" s="26" customFormat="1" ht="12.75">
      <c r="A151" s="101">
        <f t="shared" si="12"/>
        <v>134</v>
      </c>
      <c r="B151" s="74" t="s">
        <v>188</v>
      </c>
      <c r="C151" s="75" t="s">
        <v>37</v>
      </c>
      <c r="D151" s="76"/>
      <c r="E151" s="87">
        <v>17.75</v>
      </c>
      <c r="F151" s="83">
        <f t="shared" si="13"/>
        <v>0</v>
      </c>
      <c r="G151" s="84" t="str">
        <f t="shared" si="14"/>
        <v>sqft</v>
      </c>
      <c r="H151" s="85">
        <f t="shared" si="15"/>
        <v>17.75</v>
      </c>
    </row>
    <row r="152" spans="1:8" s="26" customFormat="1" ht="12.75">
      <c r="A152" s="101">
        <f t="shared" si="12"/>
        <v>135</v>
      </c>
      <c r="B152" s="74" t="s">
        <v>189</v>
      </c>
      <c r="C152" s="75" t="s">
        <v>37</v>
      </c>
      <c r="D152" s="76"/>
      <c r="E152" s="87">
        <v>21.85</v>
      </c>
      <c r="F152" s="83">
        <f t="shared" si="13"/>
        <v>0</v>
      </c>
      <c r="G152" s="84" t="str">
        <f t="shared" si="14"/>
        <v>sqft</v>
      </c>
      <c r="H152" s="85">
        <f t="shared" si="15"/>
        <v>21.85</v>
      </c>
    </row>
    <row r="153" spans="1:8" s="26" customFormat="1" ht="12.75">
      <c r="A153" s="101">
        <f t="shared" si="12"/>
        <v>136</v>
      </c>
      <c r="B153" s="74" t="s">
        <v>190</v>
      </c>
      <c r="C153" s="75" t="s">
        <v>37</v>
      </c>
      <c r="D153" s="76"/>
      <c r="E153" s="87">
        <v>15.6</v>
      </c>
      <c r="F153" s="83">
        <f t="shared" si="13"/>
        <v>0</v>
      </c>
      <c r="G153" s="84" t="str">
        <f t="shared" si="14"/>
        <v>sqft</v>
      </c>
      <c r="H153" s="85">
        <f t="shared" si="15"/>
        <v>15.6</v>
      </c>
    </row>
    <row r="154" spans="1:8" s="26" customFormat="1" ht="12.75">
      <c r="A154" s="101">
        <f aca="true" t="shared" si="16" ref="A154:A180">A153+1</f>
        <v>137</v>
      </c>
      <c r="B154" s="74" t="s">
        <v>191</v>
      </c>
      <c r="C154" s="75" t="s">
        <v>37</v>
      </c>
      <c r="D154" s="76"/>
      <c r="E154" s="87">
        <v>16.05</v>
      </c>
      <c r="F154" s="83">
        <f t="shared" si="13"/>
        <v>0</v>
      </c>
      <c r="G154" s="84" t="str">
        <f t="shared" si="14"/>
        <v>sqft</v>
      </c>
      <c r="H154" s="85">
        <f t="shared" si="15"/>
        <v>16.05</v>
      </c>
    </row>
    <row r="155" spans="1:8" s="26" customFormat="1" ht="12.75">
      <c r="A155" s="101">
        <f t="shared" si="16"/>
        <v>138</v>
      </c>
      <c r="B155" s="74" t="s">
        <v>192</v>
      </c>
      <c r="C155" s="75" t="s">
        <v>35</v>
      </c>
      <c r="D155" s="76"/>
      <c r="E155" s="87">
        <v>580</v>
      </c>
      <c r="F155" s="83">
        <f t="shared" si="13"/>
        <v>0</v>
      </c>
      <c r="G155" s="84" t="str">
        <f t="shared" si="14"/>
        <v>ls</v>
      </c>
      <c r="H155" s="85">
        <f t="shared" si="15"/>
        <v>580</v>
      </c>
    </row>
    <row r="156" spans="1:8" s="26" customFormat="1" ht="12.75">
      <c r="A156" s="101">
        <f t="shared" si="16"/>
        <v>139</v>
      </c>
      <c r="B156" s="74" t="s">
        <v>193</v>
      </c>
      <c r="C156" s="75" t="s">
        <v>35</v>
      </c>
      <c r="D156" s="76"/>
      <c r="E156" s="87">
        <v>1090</v>
      </c>
      <c r="F156" s="83">
        <f t="shared" si="13"/>
        <v>0</v>
      </c>
      <c r="G156" s="84" t="str">
        <f t="shared" si="14"/>
        <v>ls</v>
      </c>
      <c r="H156" s="85">
        <f t="shared" si="15"/>
        <v>1090</v>
      </c>
    </row>
    <row r="157" spans="1:8" s="26" customFormat="1" ht="12.75">
      <c r="A157" s="101">
        <f t="shared" si="16"/>
        <v>140</v>
      </c>
      <c r="B157" s="74" t="s">
        <v>194</v>
      </c>
      <c r="C157" s="75" t="s">
        <v>35</v>
      </c>
      <c r="D157" s="76"/>
      <c r="E157" s="87">
        <v>270</v>
      </c>
      <c r="F157" s="83">
        <f t="shared" si="13"/>
        <v>0</v>
      </c>
      <c r="G157" s="84"/>
      <c r="H157" s="85"/>
    </row>
    <row r="158" spans="1:8" s="26" customFormat="1" ht="12.75">
      <c r="A158" s="101">
        <f t="shared" si="16"/>
        <v>141</v>
      </c>
      <c r="B158" s="74" t="s">
        <v>195</v>
      </c>
      <c r="C158" s="75" t="s">
        <v>35</v>
      </c>
      <c r="D158" s="76"/>
      <c r="E158" s="87">
        <v>690</v>
      </c>
      <c r="F158" s="83">
        <f t="shared" si="13"/>
        <v>0</v>
      </c>
      <c r="G158" s="84" t="str">
        <f>IF(C158="mg","ton",IF(C158="kl","kgal",IF(C158="m3","cy",IF(C158="m2","sy",IF(C158="m","lf",IF(C158="m3","cy",C158))))))</f>
        <v>ls</v>
      </c>
      <c r="H158" s="85">
        <f>IF(C158="mg",E158*0.9071847,IF(C158="kl",E158*3.785412,IF(C158="m3",E158*0.7645549,IF(C158="M2",E158*0.8361274,IF(C158="m",E158*0.3048,E158)))))</f>
        <v>690</v>
      </c>
    </row>
    <row r="159" spans="1:8" s="26" customFormat="1" ht="12.75">
      <c r="A159" s="101">
        <f t="shared" si="16"/>
        <v>142</v>
      </c>
      <c r="B159" s="74" t="s">
        <v>196</v>
      </c>
      <c r="C159" s="75" t="s">
        <v>35</v>
      </c>
      <c r="D159" s="76"/>
      <c r="E159" s="87">
        <v>2905</v>
      </c>
      <c r="F159" s="83">
        <f t="shared" si="13"/>
        <v>0</v>
      </c>
      <c r="G159" s="84" t="str">
        <f>IF(C159="mg","ton",IF(C159="kl","kgal",IF(C159="m3","cy",IF(C159="m2","sy",IF(C159="m","lf",IF(C159="m3","cy",C159))))))</f>
        <v>ls</v>
      </c>
      <c r="H159" s="85">
        <f>IF(C159="mg",E159*0.9071847,IF(C159="kl",E159*3.785412,IF(C159="m3",E159*0.7645549,IF(C159="M2",E159*0.8361274,IF(C159="m",E159*0.3048,E159)))))</f>
        <v>2905</v>
      </c>
    </row>
    <row r="160" spans="1:8" s="26" customFormat="1" ht="12.75">
      <c r="A160" s="101">
        <f t="shared" si="16"/>
        <v>143</v>
      </c>
      <c r="B160" s="74" t="s">
        <v>197</v>
      </c>
      <c r="C160" s="75" t="s">
        <v>40</v>
      </c>
      <c r="D160" s="76"/>
      <c r="E160" s="87">
        <v>102300</v>
      </c>
      <c r="F160" s="83">
        <f t="shared" si="13"/>
        <v>0</v>
      </c>
      <c r="G160" s="84" t="str">
        <f>IF(C160="mg","ton",IF(C160="kl","kgal",IF(C160="m3","cy",IF(C160="m2","sy",IF(C160="m","lf",IF(C160="m3","cy",C160))))))</f>
        <v>each</v>
      </c>
      <c r="H160" s="85">
        <f>IF(C160="mg",E160*0.9071847,IF(C160="kl",E160*3.785412,IF(C160="m3",E160*0.7645549,IF(C160="M2",E160*0.8361274,IF(C160="m",E160*0.3048,E160)))))</f>
        <v>102300</v>
      </c>
    </row>
    <row r="161" spans="1:8" s="26" customFormat="1" ht="12.75">
      <c r="A161" s="101">
        <f t="shared" si="16"/>
        <v>144</v>
      </c>
      <c r="B161" s="74" t="s">
        <v>198</v>
      </c>
      <c r="C161" s="75" t="s">
        <v>40</v>
      </c>
      <c r="D161" s="76"/>
      <c r="E161" s="87">
        <v>7100</v>
      </c>
      <c r="F161" s="83">
        <f t="shared" si="13"/>
        <v>0</v>
      </c>
      <c r="G161" s="84" t="str">
        <f>IF(C161="mg","ton",IF(C161="kl","kgal",IF(C161="m3","cy",IF(C161="m2","sy",IF(C161="m","lf",IF(C161="m3","cy",C161))))))</f>
        <v>each</v>
      </c>
      <c r="H161" s="85">
        <f>IF(C161="mg",E161*0.9071847,IF(C161="kl",E161*3.785412,IF(C161="m3",E161*0.7645549,IF(C161="M2",E161*0.8361274,IF(C161="m",E161*0.3048,E161)))))</f>
        <v>7100</v>
      </c>
    </row>
    <row r="162" spans="1:8" s="26" customFormat="1" ht="12.75">
      <c r="A162" s="101">
        <f t="shared" si="16"/>
        <v>145</v>
      </c>
      <c r="B162" s="74" t="s">
        <v>199</v>
      </c>
      <c r="C162" s="75" t="s">
        <v>40</v>
      </c>
      <c r="D162" s="76"/>
      <c r="E162" s="87">
        <v>6550</v>
      </c>
      <c r="F162" s="83">
        <f t="shared" si="13"/>
        <v>0</v>
      </c>
      <c r="G162" s="84" t="str">
        <f>IF(C162="mg","ton",IF(C162="kl","kgal",IF(C162="m3","cy",IF(C162="m2","sy",IF(C162="m","lf",IF(C162="m3","cy",C162))))))</f>
        <v>each</v>
      </c>
      <c r="H162" s="85">
        <f>IF(C162="mg",E162*0.9071847,IF(C162="kl",E162*3.785412,IF(C162="m3",E162*0.7645549,IF(C162="M2",E162*0.8361274,IF(C162="m",E162*0.3048,E162)))))</f>
        <v>6550</v>
      </c>
    </row>
    <row r="163" spans="1:8" s="26" customFormat="1" ht="12.75">
      <c r="A163" s="101">
        <f t="shared" si="16"/>
        <v>146</v>
      </c>
      <c r="B163" s="74" t="s">
        <v>200</v>
      </c>
      <c r="C163" s="75" t="s">
        <v>40</v>
      </c>
      <c r="D163" s="76"/>
      <c r="E163" s="87">
        <v>9320</v>
      </c>
      <c r="F163" s="83">
        <f t="shared" si="13"/>
        <v>0</v>
      </c>
      <c r="G163" s="84"/>
      <c r="H163" s="85"/>
    </row>
    <row r="164" spans="1:8" s="26" customFormat="1" ht="12.75">
      <c r="A164" s="101">
        <f t="shared" si="16"/>
        <v>147</v>
      </c>
      <c r="B164" s="74" t="s">
        <v>201</v>
      </c>
      <c r="C164" s="75" t="s">
        <v>202</v>
      </c>
      <c r="D164" s="76"/>
      <c r="E164" s="87">
        <v>1245</v>
      </c>
      <c r="F164" s="83">
        <f t="shared" si="13"/>
        <v>0</v>
      </c>
      <c r="G164" s="84"/>
      <c r="H164" s="85"/>
    </row>
    <row r="165" spans="1:8" s="26" customFormat="1" ht="12.75">
      <c r="A165" s="101">
        <f t="shared" si="16"/>
        <v>148</v>
      </c>
      <c r="B165" s="74" t="s">
        <v>203</v>
      </c>
      <c r="C165" s="75" t="s">
        <v>73</v>
      </c>
      <c r="D165" s="76"/>
      <c r="E165" s="87">
        <v>2.7</v>
      </c>
      <c r="F165" s="83" t="s">
        <v>204</v>
      </c>
      <c r="G165" s="84" t="str">
        <f>IF(C165="mg","ton",IF(C165="kl","kgal",IF(C165="m3","cy",IF(C165="m2","sy",IF(C165="m","lf",IF(C165="m3","cy",C165))))))</f>
        <v>sqyd</v>
      </c>
      <c r="H165" s="85">
        <f>IF(C165="mg",E165*0.9071847,IF(C165="kl",E165*3.785412,IF(C165="m3",E165*0.7645549,IF(C165="M2",E165*0.8361274,IF(C165="m",E165*0.3048,E165)))))</f>
        <v>2.7</v>
      </c>
    </row>
    <row r="166" spans="1:8" s="26" customFormat="1" ht="12.75">
      <c r="A166" s="101">
        <f t="shared" si="16"/>
        <v>149</v>
      </c>
      <c r="B166" s="26" t="s">
        <v>205</v>
      </c>
      <c r="C166" s="75" t="s">
        <v>80</v>
      </c>
      <c r="D166" s="76"/>
      <c r="E166" s="87">
        <v>19.05</v>
      </c>
      <c r="F166" s="83">
        <f aca="true" t="shared" si="17" ref="F166:F180">D166*E166</f>
        <v>0</v>
      </c>
      <c r="G166" s="84"/>
      <c r="H166" s="85"/>
    </row>
    <row r="167" spans="1:8" s="26" customFormat="1" ht="12.75">
      <c r="A167" s="101">
        <f t="shared" si="16"/>
        <v>150</v>
      </c>
      <c r="B167" s="26" t="s">
        <v>206</v>
      </c>
      <c r="C167" s="75" t="s">
        <v>80</v>
      </c>
      <c r="D167" s="76"/>
      <c r="E167" s="87">
        <v>21.5</v>
      </c>
      <c r="F167" s="83">
        <f t="shared" si="17"/>
        <v>0</v>
      </c>
      <c r="G167" s="84"/>
      <c r="H167" s="85"/>
    </row>
    <row r="168" spans="1:9" s="26" customFormat="1" ht="12.75">
      <c r="A168" s="101">
        <f t="shared" si="16"/>
        <v>151</v>
      </c>
      <c r="B168" s="74" t="s">
        <v>207</v>
      </c>
      <c r="C168" s="75" t="s">
        <v>40</v>
      </c>
      <c r="D168" s="76">
        <v>6</v>
      </c>
      <c r="E168" s="87">
        <v>288</v>
      </c>
      <c r="F168" s="83">
        <f t="shared" si="17"/>
        <v>1728</v>
      </c>
      <c r="G168" s="84" t="str">
        <f>IF(C168="mg","ton",IF(C168="kl","kgal",IF(C168="m3","cy",IF(C168="m2","sy",IF(C168="m","lf",IF(C168="m3","cy",C168))))))</f>
        <v>each</v>
      </c>
      <c r="H168" s="85">
        <f>IF(C168="mg",E168*0.9071847,IF(C168="kl",E168*3.785412,IF(C168="m3",E168*0.7645549,IF(C168="M2",E168*0.8361274,IF(C168="m",E168*0.3048,E168)))))</f>
        <v>288</v>
      </c>
      <c r="I168" s="26" t="s">
        <v>208</v>
      </c>
    </row>
    <row r="169" spans="1:8" s="26" customFormat="1" ht="12.75">
      <c r="A169" s="101">
        <f t="shared" si="16"/>
        <v>152</v>
      </c>
      <c r="B169" s="74" t="s">
        <v>209</v>
      </c>
      <c r="C169" s="75" t="s">
        <v>40</v>
      </c>
      <c r="D169" s="76"/>
      <c r="E169" s="87">
        <v>315</v>
      </c>
      <c r="F169" s="83">
        <f t="shared" si="17"/>
        <v>0</v>
      </c>
      <c r="G169" s="84"/>
      <c r="H169" s="85"/>
    </row>
    <row r="170" spans="1:8" s="26" customFormat="1" ht="12.75">
      <c r="A170" s="101">
        <f t="shared" si="16"/>
        <v>153</v>
      </c>
      <c r="B170" s="74" t="s">
        <v>210</v>
      </c>
      <c r="C170" s="75" t="s">
        <v>40</v>
      </c>
      <c r="D170" s="76"/>
      <c r="E170" s="87">
        <v>5.75</v>
      </c>
      <c r="F170" s="83">
        <f t="shared" si="17"/>
        <v>0</v>
      </c>
      <c r="G170" s="84" t="str">
        <f>IF(C170="mg","ton",IF(C170="kl","kgal",IF(C170="m3","cy",IF(C170="m2","sy",IF(C170="m","lf",IF(C170="m3","cy",C170))))))</f>
        <v>each</v>
      </c>
      <c r="H170" s="85">
        <f>IF(C170="mg",E170*0.9071847,IF(C170="kl",E170*3.785412,IF(C170="m3",E170*0.7645549,IF(C170="M2",E170*0.8361274,IF(C170="m",E170*0.3048,E170)))))</f>
        <v>5.75</v>
      </c>
    </row>
    <row r="171" spans="1:8" s="26" customFormat="1" ht="12.75">
      <c r="A171" s="101">
        <f t="shared" si="16"/>
        <v>154</v>
      </c>
      <c r="B171" s="74" t="s">
        <v>211</v>
      </c>
      <c r="C171" s="75" t="s">
        <v>40</v>
      </c>
      <c r="D171" s="76"/>
      <c r="E171" s="87">
        <v>4.1</v>
      </c>
      <c r="F171" s="83">
        <f t="shared" si="17"/>
        <v>0</v>
      </c>
      <c r="G171" s="84" t="str">
        <f>IF(C171="mg","ton",IF(C171="kl","kgal",IF(C171="m3","cy",IF(C171="m2","sy",IF(C171="m","lf",IF(C171="m3","cy",C171))))))</f>
        <v>each</v>
      </c>
      <c r="H171" s="85">
        <f>IF(C171="mg",E171*0.9071847,IF(C171="kl",E171*3.785412,IF(C171="m3",E171*0.7645549,IF(C171="M2",E171*0.8361274,IF(C171="m",E171*0.3048,E171)))))</f>
        <v>4.1</v>
      </c>
    </row>
    <row r="172" spans="1:8" s="26" customFormat="1" ht="12.75">
      <c r="A172" s="101">
        <f t="shared" si="16"/>
        <v>155</v>
      </c>
      <c r="B172" s="26" t="s">
        <v>212</v>
      </c>
      <c r="C172" s="90" t="s">
        <v>73</v>
      </c>
      <c r="D172" s="76"/>
      <c r="E172" s="87">
        <v>8.2</v>
      </c>
      <c r="F172" s="83">
        <f t="shared" si="17"/>
        <v>0</v>
      </c>
      <c r="G172" s="84" t="str">
        <f>IF(C167="mg","ton",IF(C167="kl","kgal",IF(C167="m3","cy",IF(C167="m2","sy",IF(C167="m","lf",IF(C167="m3","cy",C167))))))</f>
        <v>cuyd</v>
      </c>
      <c r="H172" s="85">
        <f>IF(C167="mg",E167*0.9071847,IF(C167="kl",E167*3.785412,IF(C167="m3",E167*0.7645549,IF(C167="M2",E167*0.8361274,IF(C167="m",E167*0.3048,E167)))))</f>
        <v>21.5</v>
      </c>
    </row>
    <row r="173" spans="1:9" s="26" customFormat="1" ht="12.75">
      <c r="A173" s="101">
        <f t="shared" si="16"/>
        <v>156</v>
      </c>
      <c r="B173" s="26" t="s">
        <v>213</v>
      </c>
      <c r="C173" s="75" t="s">
        <v>80</v>
      </c>
      <c r="D173" s="76">
        <v>8</v>
      </c>
      <c r="E173" s="87">
        <v>25.3</v>
      </c>
      <c r="F173" s="83">
        <f t="shared" si="17"/>
        <v>202.4</v>
      </c>
      <c r="G173" s="84" t="str">
        <f>IF(C173="mg","ton",IF(C173="kl","kgal",IF(C173="m3","cy",IF(C173="m2","sy",IF(C173="m","lf",IF(C173="m3","cy",C173))))))</f>
        <v>cuyd</v>
      </c>
      <c r="H173" s="85">
        <f>IF(C173="mg",E173*0.9071847,IF(C173="kl",E173*3.785412,IF(C173="m3",E173*0.7645549,IF(C173="M2",E173*0.8361274,IF(C173="m",E173*0.3048,E173)))))</f>
        <v>25.3</v>
      </c>
      <c r="I173" s="26" t="s">
        <v>214</v>
      </c>
    </row>
    <row r="174" spans="1:8" s="26" customFormat="1" ht="12.75">
      <c r="A174" s="101">
        <f t="shared" si="16"/>
        <v>157</v>
      </c>
      <c r="B174" s="26" t="s">
        <v>215</v>
      </c>
      <c r="C174" s="75" t="s">
        <v>35</v>
      </c>
      <c r="D174" s="76">
        <v>1</v>
      </c>
      <c r="E174" s="87">
        <v>600</v>
      </c>
      <c r="F174" s="83">
        <f t="shared" si="17"/>
        <v>600</v>
      </c>
      <c r="G174" s="84"/>
      <c r="H174" s="85"/>
    </row>
    <row r="175" spans="1:8" s="26" customFormat="1" ht="12.75">
      <c r="A175" s="101">
        <f t="shared" si="16"/>
        <v>158</v>
      </c>
      <c r="B175" s="26" t="s">
        <v>216</v>
      </c>
      <c r="C175" s="75" t="s">
        <v>217</v>
      </c>
      <c r="D175" s="76"/>
      <c r="E175" s="87">
        <v>0</v>
      </c>
      <c r="F175" s="83">
        <f t="shared" si="17"/>
        <v>0</v>
      </c>
      <c r="G175" s="84"/>
      <c r="H175" s="85"/>
    </row>
    <row r="176" spans="1:8" s="26" customFormat="1" ht="12.75">
      <c r="A176" s="101">
        <f t="shared" si="16"/>
        <v>159</v>
      </c>
      <c r="B176" s="74" t="s">
        <v>218</v>
      </c>
      <c r="C176" s="75" t="s">
        <v>40</v>
      </c>
      <c r="D176" s="76"/>
      <c r="E176" s="87">
        <v>875</v>
      </c>
      <c r="F176" s="83">
        <f t="shared" si="17"/>
        <v>0</v>
      </c>
      <c r="G176" s="84"/>
      <c r="H176" s="85"/>
    </row>
    <row r="177" spans="1:8" s="26" customFormat="1" ht="12.75">
      <c r="A177" s="101">
        <f t="shared" si="16"/>
        <v>160</v>
      </c>
      <c r="B177" s="26" t="s">
        <v>219</v>
      </c>
      <c r="C177" s="90" t="s">
        <v>35</v>
      </c>
      <c r="D177" s="76"/>
      <c r="E177" s="87">
        <v>0</v>
      </c>
      <c r="F177" s="83">
        <f t="shared" si="17"/>
        <v>0</v>
      </c>
      <c r="G177" s="84" t="str">
        <f>IF(C176="mg","ton",IF(C176="kl","kgal",IF(C176="m3","cy",IF(C176="m2","sy",IF(C176="m","lf",IF(C176="m3","cy",C176))))))</f>
        <v>each</v>
      </c>
      <c r="H177" s="85">
        <f>IF(C176="mg",E176*0.9071847,IF(C176="kl",E176*3.785412,IF(C176="m3",E176*0.7645549,IF(C176="M2",E176*0.8361274,IF(C176="m",E176*0.3048,E176)))))</f>
        <v>875</v>
      </c>
    </row>
    <row r="178" spans="1:8" s="26" customFormat="1" ht="12.75">
      <c r="A178" s="101">
        <f t="shared" si="16"/>
        <v>161</v>
      </c>
      <c r="B178" s="26" t="s">
        <v>220</v>
      </c>
      <c r="C178" s="90" t="s">
        <v>42</v>
      </c>
      <c r="D178" s="76"/>
      <c r="E178" s="87">
        <v>38.6</v>
      </c>
      <c r="F178" s="83">
        <f t="shared" si="17"/>
        <v>0</v>
      </c>
      <c r="G178" s="84" t="e">
        <f>IF(#REF!="mg","ton",IF(#REF!="kl","kgal",IF(#REF!="m3","cy",IF(#REF!="m2","sy",IF(#REF!="m","lf",IF(#REF!="m3","cy",#REF!))))))</f>
        <v>#REF!</v>
      </c>
      <c r="H178" s="85" t="e">
        <f>IF(#REF!="mg",#REF!*0.9071847,IF(#REF!="kl",#REF!*3.785412,IF(#REF!="m3",#REF!*0.7645549,IF(#REF!="M2",#REF!*0.8361274,IF(#REF!="m",#REF!*0.3048,#REF!)))))</f>
        <v>#REF!</v>
      </c>
    </row>
    <row r="179" spans="1:8" s="26" customFormat="1" ht="12.75">
      <c r="A179" s="101">
        <f t="shared" si="16"/>
        <v>162</v>
      </c>
      <c r="B179" s="26" t="s">
        <v>221</v>
      </c>
      <c r="C179" s="90" t="s">
        <v>40</v>
      </c>
      <c r="D179" s="76"/>
      <c r="E179" s="87">
        <v>2250</v>
      </c>
      <c r="F179" s="83">
        <f t="shared" si="17"/>
        <v>0</v>
      </c>
      <c r="G179" s="84" t="e">
        <f>IF(#REF!="mg","ton",IF(#REF!="kl","kgal",IF(#REF!="m3","cy",IF(#REF!="m2","sy",IF(#REF!="m","lf",IF(#REF!="m3","cy",#REF!))))))</f>
        <v>#REF!</v>
      </c>
      <c r="H179" s="85" t="e">
        <f>IF(#REF!="mg",#REF!*0.9071847,IF(#REF!="kl",#REF!*3.785412,IF(#REF!="m3",#REF!*0.7645549,IF(#REF!="M2",#REF!*0.8361274,IF(#REF!="m",#REF!*0.3048,#REF!)))))</f>
        <v>#REF!</v>
      </c>
    </row>
    <row r="180" spans="1:8" s="26" customFormat="1" ht="12.75">
      <c r="A180" s="101">
        <f t="shared" si="16"/>
        <v>163</v>
      </c>
      <c r="B180" s="26" t="s">
        <v>222</v>
      </c>
      <c r="C180" s="90" t="s">
        <v>40</v>
      </c>
      <c r="D180" s="76"/>
      <c r="E180" s="87">
        <v>860</v>
      </c>
      <c r="F180" s="83">
        <f t="shared" si="17"/>
        <v>0</v>
      </c>
      <c r="G180" s="84" t="e">
        <f>IF(#REF!="mg","ton",IF(#REF!="kl","kgal",IF(#REF!="m3","cy",IF(#REF!="m2","sy",IF(#REF!="m","lf",IF(#REF!="m3","cy",#REF!))))))</f>
        <v>#REF!</v>
      </c>
      <c r="H180" s="85" t="e">
        <f>IF(#REF!="mg",#REF!*0.9071847,IF(#REF!="kl",#REF!*3.785412,IF(#REF!="m3",#REF!*0.7645549,IF(#REF!="M2",#REF!*0.8361274,IF(#REF!="m",#REF!*0.3048,#REF!)))))</f>
        <v>#REF!</v>
      </c>
    </row>
    <row r="181" spans="3:8" s="26" customFormat="1" ht="12.75">
      <c r="C181" s="90"/>
      <c r="G181" s="84" t="e">
        <f>IF(#REF!="mg","ton",IF(#REF!="kl","kgal",IF(#REF!="m3","cy",IF(#REF!="m2","sy",IF(#REF!="m","lf",IF(#REF!="m3","cy",#REF!))))))</f>
        <v>#REF!</v>
      </c>
      <c r="H181" s="85" t="e">
        <f>IF(#REF!="mg",#REF!*0.9071847,IF(#REF!="kl",#REF!*3.785412,IF(#REF!="m3",#REF!*0.7645549,IF(#REF!="M2",#REF!*0.8361274,IF(#REF!="m",#REF!*0.3048,#REF!)))))</f>
        <v>#REF!</v>
      </c>
    </row>
    <row r="183" spans="1:7" ht="12.75">
      <c r="A183" s="105" t="s">
        <v>223</v>
      </c>
      <c r="B183" s="105"/>
      <c r="F183" s="106">
        <f>SUM(F16:F180)</f>
        <v>68163.54999999999</v>
      </c>
      <c r="G183" s="107"/>
    </row>
    <row r="184" spans="1:7" ht="12.75">
      <c r="A184" s="105"/>
      <c r="B184" s="105"/>
      <c r="F184" s="108"/>
      <c r="G184" s="107"/>
    </row>
    <row r="185" spans="1:7" ht="12.75">
      <c r="A185" s="272" t="s">
        <v>224</v>
      </c>
      <c r="B185" s="272"/>
      <c r="C185" s="272"/>
      <c r="D185" s="272"/>
      <c r="E185" s="272"/>
      <c r="F185" s="272"/>
      <c r="G185" s="109"/>
    </row>
    <row r="186" spans="1:7" ht="12.75">
      <c r="A186" s="69"/>
      <c r="B186" s="69"/>
      <c r="C186" s="70"/>
      <c r="D186" s="110"/>
      <c r="E186" s="110"/>
      <c r="F186" s="110"/>
      <c r="G186" s="109"/>
    </row>
    <row r="187" spans="1:6" ht="14.25" customHeight="1">
      <c r="A187" s="72" t="s">
        <v>28</v>
      </c>
      <c r="B187" s="8" t="s">
        <v>29</v>
      </c>
      <c r="C187" s="60" t="s">
        <v>30</v>
      </c>
      <c r="D187" s="72" t="s">
        <v>31</v>
      </c>
      <c r="E187" s="72" t="s">
        <v>32</v>
      </c>
      <c r="F187" s="72" t="s">
        <v>33</v>
      </c>
    </row>
    <row r="188" spans="1:8" ht="12.75">
      <c r="A188" s="62">
        <f>1+A180</f>
        <v>164</v>
      </c>
      <c r="B188" s="111" t="s">
        <v>225</v>
      </c>
      <c r="C188" s="60" t="s">
        <v>35</v>
      </c>
      <c r="D188" s="112">
        <v>1</v>
      </c>
      <c r="E188" s="106">
        <v>1000</v>
      </c>
      <c r="F188" s="106">
        <f aca="true" t="shared" si="18" ref="F188:F198">D188*E188</f>
        <v>1000</v>
      </c>
      <c r="G188" s="107" t="str">
        <f aca="true" t="shared" si="19" ref="G188:G196">IF(C188="mg","ton",IF(C188="kl","kgal",IF(C188="m3","cy",IF(C188="m2","sy",IF(C188="m","lf",IF(C188="m3","cy",C188))))))</f>
        <v>ls</v>
      </c>
      <c r="H188" s="25">
        <f aca="true" t="shared" si="20" ref="H188:H196">IF(C188="mg",E188*0.9071847,IF(C188="kl",E188*3.785412,IF(C188="m3",E188*0.7645549,IF(C188="M2",E188*0.8361274,IF(C188="m",E188*0.3048,E188)))))</f>
        <v>1000</v>
      </c>
    </row>
    <row r="189" spans="1:8" ht="12.75">
      <c r="A189" s="62">
        <f aca="true" t="shared" si="21" ref="A189:A198">A188+1</f>
        <v>165</v>
      </c>
      <c r="B189" s="111" t="s">
        <v>226</v>
      </c>
      <c r="C189" s="60" t="s">
        <v>40</v>
      </c>
      <c r="D189" s="113"/>
      <c r="E189" s="106">
        <v>7500</v>
      </c>
      <c r="F189" s="106">
        <f t="shared" si="18"/>
        <v>0</v>
      </c>
      <c r="G189" s="107" t="str">
        <f t="shared" si="19"/>
        <v>each</v>
      </c>
      <c r="H189" s="25">
        <f t="shared" si="20"/>
        <v>7500</v>
      </c>
    </row>
    <row r="190" spans="1:8" ht="12.75">
      <c r="A190" s="62">
        <f t="shared" si="21"/>
        <v>166</v>
      </c>
      <c r="B190" s="111" t="s">
        <v>227</v>
      </c>
      <c r="C190" s="60" t="s">
        <v>40</v>
      </c>
      <c r="D190" s="113">
        <v>1</v>
      </c>
      <c r="E190" s="106">
        <v>1000</v>
      </c>
      <c r="F190" s="106">
        <f t="shared" si="18"/>
        <v>1000</v>
      </c>
      <c r="G190" s="107" t="str">
        <f t="shared" si="19"/>
        <v>each</v>
      </c>
      <c r="H190" s="25">
        <f t="shared" si="20"/>
        <v>1000</v>
      </c>
    </row>
    <row r="191" spans="1:8" ht="12.75">
      <c r="A191" s="62">
        <f t="shared" si="21"/>
        <v>167</v>
      </c>
      <c r="B191" s="111" t="s">
        <v>228</v>
      </c>
      <c r="C191" s="60" t="s">
        <v>40</v>
      </c>
      <c r="D191" s="113"/>
      <c r="E191" s="106">
        <v>350</v>
      </c>
      <c r="F191" s="106">
        <f t="shared" si="18"/>
        <v>0</v>
      </c>
      <c r="G191" s="107" t="str">
        <f t="shared" si="19"/>
        <v>each</v>
      </c>
      <c r="H191" s="25">
        <f t="shared" si="20"/>
        <v>350</v>
      </c>
    </row>
    <row r="192" spans="1:8" ht="12.75">
      <c r="A192" s="62">
        <f t="shared" si="21"/>
        <v>168</v>
      </c>
      <c r="B192" s="111" t="s">
        <v>229</v>
      </c>
      <c r="C192" s="60" t="s">
        <v>40</v>
      </c>
      <c r="D192" s="113"/>
      <c r="E192" s="106">
        <v>550</v>
      </c>
      <c r="F192" s="106">
        <f t="shared" si="18"/>
        <v>0</v>
      </c>
      <c r="G192" s="107" t="str">
        <f t="shared" si="19"/>
        <v>each</v>
      </c>
      <c r="H192" s="25">
        <f t="shared" si="20"/>
        <v>550</v>
      </c>
    </row>
    <row r="193" spans="1:8" ht="12.75">
      <c r="A193" s="62">
        <f t="shared" si="21"/>
        <v>169</v>
      </c>
      <c r="B193" s="111" t="s">
        <v>230</v>
      </c>
      <c r="C193" s="60" t="s">
        <v>35</v>
      </c>
      <c r="D193" s="113">
        <v>0</v>
      </c>
      <c r="E193" s="106">
        <v>0</v>
      </c>
      <c r="F193" s="106">
        <f t="shared" si="18"/>
        <v>0</v>
      </c>
      <c r="G193" s="107" t="str">
        <f t="shared" si="19"/>
        <v>ls</v>
      </c>
      <c r="H193" s="25">
        <f t="shared" si="20"/>
        <v>0</v>
      </c>
    </row>
    <row r="194" spans="1:8" ht="12.75">
      <c r="A194" s="62">
        <f t="shared" si="21"/>
        <v>170</v>
      </c>
      <c r="B194" s="111" t="s">
        <v>231</v>
      </c>
      <c r="C194" s="60" t="s">
        <v>35</v>
      </c>
      <c r="D194" s="113">
        <v>0</v>
      </c>
      <c r="E194" s="106">
        <v>0</v>
      </c>
      <c r="F194" s="106">
        <f t="shared" si="18"/>
        <v>0</v>
      </c>
      <c r="G194" s="107" t="str">
        <f t="shared" si="19"/>
        <v>ls</v>
      </c>
      <c r="H194" s="25">
        <f t="shared" si="20"/>
        <v>0</v>
      </c>
    </row>
    <row r="195" spans="1:8" ht="12.75">
      <c r="A195" s="62">
        <f t="shared" si="21"/>
        <v>171</v>
      </c>
      <c r="B195" s="8" t="s">
        <v>232</v>
      </c>
      <c r="C195" s="60" t="s">
        <v>80</v>
      </c>
      <c r="D195" s="113">
        <v>0</v>
      </c>
      <c r="E195" s="106">
        <v>106</v>
      </c>
      <c r="F195" s="106">
        <f t="shared" si="18"/>
        <v>0</v>
      </c>
      <c r="G195" s="107" t="str">
        <f t="shared" si="19"/>
        <v>cuyd</v>
      </c>
      <c r="H195" s="25">
        <f t="shared" si="20"/>
        <v>106</v>
      </c>
    </row>
    <row r="196" spans="1:8" ht="12.75">
      <c r="A196" s="62">
        <f t="shared" si="21"/>
        <v>172</v>
      </c>
      <c r="B196" s="111" t="s">
        <v>233</v>
      </c>
      <c r="C196" s="60" t="s">
        <v>42</v>
      </c>
      <c r="D196" s="113">
        <v>0</v>
      </c>
      <c r="E196" s="106">
        <v>50</v>
      </c>
      <c r="F196" s="106">
        <f t="shared" si="18"/>
        <v>0</v>
      </c>
      <c r="G196" s="107" t="str">
        <f t="shared" si="19"/>
        <v>foot</v>
      </c>
      <c r="H196" s="25">
        <f t="shared" si="20"/>
        <v>50</v>
      </c>
    </row>
    <row r="197" spans="1:8" ht="12.75" customHeight="1">
      <c r="A197" s="62">
        <f t="shared" si="21"/>
        <v>173</v>
      </c>
      <c r="B197" s="7" t="s">
        <v>234</v>
      </c>
      <c r="C197" s="60" t="s">
        <v>35</v>
      </c>
      <c r="D197" s="113">
        <v>1</v>
      </c>
      <c r="E197" s="106">
        <v>0</v>
      </c>
      <c r="F197" s="106">
        <f t="shared" si="18"/>
        <v>0</v>
      </c>
      <c r="G197" s="107"/>
      <c r="H197" s="25"/>
    </row>
    <row r="198" spans="1:7" ht="12.75">
      <c r="A198" s="62">
        <f t="shared" si="21"/>
        <v>174</v>
      </c>
      <c r="B198" s="7" t="s">
        <v>235</v>
      </c>
      <c r="C198" s="60" t="s">
        <v>35</v>
      </c>
      <c r="D198" s="113">
        <v>1</v>
      </c>
      <c r="E198" s="106">
        <v>0</v>
      </c>
      <c r="F198" s="106">
        <f t="shared" si="18"/>
        <v>0</v>
      </c>
      <c r="G198" s="107"/>
    </row>
    <row r="199" spans="2:7" ht="12.75">
      <c r="B199" s="7"/>
      <c r="D199" s="113"/>
      <c r="E199" s="106"/>
      <c r="F199" s="106"/>
      <c r="G199" s="107"/>
    </row>
    <row r="200" spans="1:7" ht="12.75">
      <c r="A200" s="105" t="s">
        <v>236</v>
      </c>
      <c r="B200" s="105"/>
      <c r="E200" s="106"/>
      <c r="F200" s="106">
        <f>SUM(F188:F199)</f>
        <v>2000</v>
      </c>
      <c r="G200" s="107"/>
    </row>
    <row r="201" spans="4:7" ht="12.75">
      <c r="D201" s="113"/>
      <c r="E201" s="106"/>
      <c r="F201" s="106"/>
      <c r="G201" s="107"/>
    </row>
    <row r="202" spans="5:6" ht="12.75">
      <c r="E202" s="106"/>
      <c r="F202" s="106"/>
    </row>
    <row r="203" spans="5:6" ht="12.75">
      <c r="E203" s="106"/>
      <c r="F203" s="106"/>
    </row>
    <row r="204" spans="1:7" ht="12.75">
      <c r="A204" s="114" t="s">
        <v>237</v>
      </c>
      <c r="B204" s="114"/>
      <c r="E204" s="106"/>
      <c r="F204" s="106"/>
      <c r="G204" s="8"/>
    </row>
    <row r="205" spans="5:7" ht="12.75">
      <c r="E205" s="106"/>
      <c r="F205" s="106"/>
      <c r="G205" s="8"/>
    </row>
    <row r="206" spans="1:7" ht="12.75">
      <c r="A206" s="62" t="s">
        <v>238</v>
      </c>
      <c r="E206" s="106"/>
      <c r="F206" s="106">
        <f>$F$183</f>
        <v>68163.54999999999</v>
      </c>
      <c r="G206" s="8"/>
    </row>
    <row r="207" spans="1:7" ht="12.75">
      <c r="A207" s="62" t="s">
        <v>239</v>
      </c>
      <c r="E207" s="106"/>
      <c r="F207" s="106">
        <f>$F$200</f>
        <v>2000</v>
      </c>
      <c r="G207" s="8"/>
    </row>
    <row r="208" spans="5:7" ht="12.75">
      <c r="E208" s="106"/>
      <c r="F208" s="106"/>
      <c r="G208" s="8"/>
    </row>
    <row r="209" spans="1:7" ht="12.75">
      <c r="A209" s="62" t="s">
        <v>240</v>
      </c>
      <c r="E209" s="106"/>
      <c r="F209" s="106">
        <f>SUM(F206:F208)</f>
        <v>70163.54999999999</v>
      </c>
      <c r="G209" s="8"/>
    </row>
    <row r="210" spans="1:7" ht="12.75">
      <c r="A210" s="62" t="s">
        <v>241</v>
      </c>
      <c r="E210" s="106"/>
      <c r="F210" s="106">
        <f>ROUND(F209*0.05,-2)</f>
        <v>3500</v>
      </c>
      <c r="G210" s="8"/>
    </row>
    <row r="211" spans="5:7" ht="12.75">
      <c r="E211" s="106"/>
      <c r="F211" s="106"/>
      <c r="G211" s="8"/>
    </row>
    <row r="212" spans="1:7" ht="12.75">
      <c r="A212" s="114" t="s">
        <v>242</v>
      </c>
      <c r="B212" s="115"/>
      <c r="E212" s="106"/>
      <c r="F212" s="116">
        <f>SUM(F209:F211)</f>
        <v>73663.54999999999</v>
      </c>
      <c r="G212" s="8"/>
    </row>
    <row r="213" spans="5:7" ht="12.75">
      <c r="E213" s="106"/>
      <c r="F213" s="106"/>
      <c r="G213" s="8"/>
    </row>
    <row r="214" spans="1:7" ht="12.75">
      <c r="A214" s="62" t="s">
        <v>243</v>
      </c>
      <c r="E214" s="106"/>
      <c r="F214" s="106">
        <f>ROUND(F212*0.05,-2)</f>
        <v>3700</v>
      </c>
      <c r="G214" s="8"/>
    </row>
    <row r="215" spans="1:7" ht="12.75">
      <c r="A215" s="62" t="s">
        <v>244</v>
      </c>
      <c r="E215" s="106"/>
      <c r="F215" s="106">
        <f>ROUND(F212*0.25,-2)</f>
        <v>18400</v>
      </c>
      <c r="G215" s="8"/>
    </row>
    <row r="216" spans="1:7" ht="12.75">
      <c r="A216" s="62" t="s">
        <v>245</v>
      </c>
      <c r="E216" s="106"/>
      <c r="F216" s="106">
        <f>ROUND(F212*0.15,-2)</f>
        <v>11000</v>
      </c>
      <c r="G216" s="8"/>
    </row>
    <row r="217" spans="1:7" ht="12.75">
      <c r="A217" s="62" t="s">
        <v>246</v>
      </c>
      <c r="E217" s="106"/>
      <c r="F217" s="106">
        <v>0</v>
      </c>
      <c r="G217" s="8"/>
    </row>
    <row r="218" spans="1:7" ht="12.75">
      <c r="A218" s="62" t="s">
        <v>247</v>
      </c>
      <c r="E218" s="106"/>
      <c r="F218" s="106">
        <f>F217*0.2</f>
        <v>0</v>
      </c>
      <c r="G218" s="8"/>
    </row>
    <row r="219" spans="5:7" ht="12.75">
      <c r="E219" s="106"/>
      <c r="F219" s="106"/>
      <c r="G219" s="8"/>
    </row>
    <row r="220" spans="1:7" ht="12.75">
      <c r="A220" s="117" t="s">
        <v>248</v>
      </c>
      <c r="E220" s="106"/>
      <c r="F220" s="116">
        <f>SUM(F214:F218)</f>
        <v>33100</v>
      </c>
      <c r="G220" s="8"/>
    </row>
    <row r="221" spans="5:7" ht="12.75">
      <c r="E221" s="106"/>
      <c r="F221" s="106"/>
      <c r="G221" s="8"/>
    </row>
    <row r="222" spans="1:6" s="111" customFormat="1" ht="12.75">
      <c r="A222" s="118" t="s">
        <v>249</v>
      </c>
      <c r="C222" s="60"/>
      <c r="E222" s="77"/>
      <c r="F222" s="77">
        <f>F212+F220</f>
        <v>106763.54999999999</v>
      </c>
    </row>
    <row r="223" spans="1:7" ht="12.75">
      <c r="A223" s="62" t="s">
        <v>501</v>
      </c>
      <c r="E223" s="106"/>
      <c r="F223" s="188">
        <f>ROUND(F222*0.3,-2)</f>
        <v>32000</v>
      </c>
      <c r="G223" s="8"/>
    </row>
    <row r="224" spans="1:7" ht="12.75">
      <c r="A224" s="62" t="s">
        <v>255</v>
      </c>
      <c r="E224" s="106"/>
      <c r="F224" s="82">
        <v>0</v>
      </c>
      <c r="G224" s="8"/>
    </row>
    <row r="225" spans="5:7" ht="12.75">
      <c r="E225" s="106"/>
      <c r="F225" s="106"/>
      <c r="G225" s="8"/>
    </row>
    <row r="226" spans="1:7" ht="12.75">
      <c r="A226" s="117" t="s">
        <v>250</v>
      </c>
      <c r="E226" s="106"/>
      <c r="F226" s="116">
        <f>SUM(F222:F225)</f>
        <v>138763.55</v>
      </c>
      <c r="G226" s="8"/>
    </row>
    <row r="228" spans="1:6" ht="12.75">
      <c r="A228" s="117" t="s">
        <v>251</v>
      </c>
      <c r="B228" s="7"/>
      <c r="F228" s="116">
        <v>0</v>
      </c>
    </row>
  </sheetData>
  <mergeCells count="2">
    <mergeCell ref="A13:F13"/>
    <mergeCell ref="A185:F185"/>
  </mergeCells>
  <printOptions gridLines="1" horizontalCentered="1"/>
  <pageMargins left="0.8" right="0.47" top="0.8" bottom="0.7" header="0.5" footer="0.3"/>
  <pageSetup fitToHeight="4" horizontalDpi="600" verticalDpi="600" orientation="portrait" scale="90" r:id="rId2"/>
  <headerFooter alignWithMargins="0">
    <oddHeader>&amp;L&amp;A&amp;RJob No.  _________</oddHeader>
    <oddFooter>&amp;C&amp;P of &amp;N&amp;R&amp;A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PDOT - City of Portland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Aebi</dc:creator>
  <cp:keywords/>
  <dc:description/>
  <cp:lastModifiedBy> </cp:lastModifiedBy>
  <cp:lastPrinted>2004-04-30T16:10:57Z</cp:lastPrinted>
  <dcterms:created xsi:type="dcterms:W3CDTF">2004-03-09T22:27:38Z</dcterms:created>
  <dcterms:modified xsi:type="dcterms:W3CDTF">2007-03-12T22:30:45Z</dcterms:modified>
  <cp:category/>
  <cp:version/>
  <cp:contentType/>
  <cp:contentStatus/>
</cp:coreProperties>
</file>