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405" windowHeight="4095" activeTab="2"/>
  </bookViews>
  <sheets>
    <sheet name="Sheet1" sheetId="1" r:id="rId1"/>
    <sheet name="Sheet2" sheetId="2" r:id="rId2"/>
    <sheet name="Summary" sheetId="3" r:id="rId3"/>
  </sheets>
  <definedNames>
    <definedName name="_xlnm.Print_Area" localSheetId="2">'Summary'!$A$1:$Y$81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<sst xmlns="http://schemas.openxmlformats.org/spreadsheetml/2006/main" count="156" uniqueCount="97">
  <si>
    <t>Task No.</t>
  </si>
  <si>
    <t>Task Description</t>
  </si>
  <si>
    <t>Labor Resources</t>
  </si>
  <si>
    <t>Project Principal</t>
  </si>
  <si>
    <t>CADD</t>
  </si>
  <si>
    <t>Labor Total</t>
  </si>
  <si>
    <t>Direct Expense</t>
  </si>
  <si>
    <t>Task Total</t>
  </si>
  <si>
    <t>Establish Security Planning Team</t>
  </si>
  <si>
    <t>Security Planning Team and Background Information</t>
  </si>
  <si>
    <t>Collect and Review Background Information</t>
  </si>
  <si>
    <t>Determine and Rank Water Utility Mission Objectives</t>
  </si>
  <si>
    <t>Perform Threat Analysis</t>
  </si>
  <si>
    <t>Site Characterization</t>
  </si>
  <si>
    <t>Risk Analysis</t>
  </si>
  <si>
    <t>Final Report</t>
  </si>
  <si>
    <t>Preliminary Report</t>
  </si>
  <si>
    <t>Task Subtotal</t>
  </si>
  <si>
    <t>Security Procedures Outline</t>
  </si>
  <si>
    <t>On-Site Physical Assessment</t>
  </si>
  <si>
    <t>Final Report and Implementation Plan</t>
  </si>
  <si>
    <t>Operating Procedures and Policies</t>
  </si>
  <si>
    <t>Emergency Response Procedures</t>
  </si>
  <si>
    <t>Word Process.</t>
  </si>
  <si>
    <t>Proj. Cntrlr</t>
  </si>
  <si>
    <t>Draft Operational Procedures</t>
  </si>
  <si>
    <t>Final Draft Operational Procedures</t>
  </si>
  <si>
    <t>Security Prof.</t>
  </si>
  <si>
    <t>Sec Proj.
Manager</t>
  </si>
  <si>
    <t>HDR</t>
  </si>
  <si>
    <t>Westin</t>
  </si>
  <si>
    <t>EQE</t>
  </si>
  <si>
    <t>Westin
SCADA &amp; Cyber Sec.</t>
  </si>
  <si>
    <t>EQE
Natural Disaster</t>
  </si>
  <si>
    <t>PHASE 2</t>
  </si>
  <si>
    <t>Industrial Health</t>
  </si>
  <si>
    <t>PHASE 1</t>
  </si>
  <si>
    <t>Proj Manager</t>
  </si>
  <si>
    <t>Envirn Engineer RAM-W</t>
  </si>
  <si>
    <t>Proj. Engineer RAM-D</t>
  </si>
  <si>
    <t>Contaminant Monitoring</t>
  </si>
  <si>
    <t>Evaluate Upgrades to Existing Protection Systems</t>
  </si>
  <si>
    <t>QA/QC</t>
  </si>
  <si>
    <t>Anderson</t>
  </si>
  <si>
    <t>Woolcott</t>
  </si>
  <si>
    <t>Beehler</t>
  </si>
  <si>
    <t>Ballantyne</t>
  </si>
  <si>
    <t>Kuhns</t>
  </si>
  <si>
    <t>Merrill</t>
  </si>
  <si>
    <t>Harrison</t>
  </si>
  <si>
    <t>Lang</t>
  </si>
  <si>
    <t>Bosco</t>
  </si>
  <si>
    <t>Fitzgerald</t>
  </si>
  <si>
    <t>Black</t>
  </si>
  <si>
    <t>Hour split</t>
  </si>
  <si>
    <t>Total</t>
  </si>
  <si>
    <t>PHASE 2 Subtotal</t>
  </si>
  <si>
    <t>Vulnerability Assessment and Related Security Planning</t>
  </si>
  <si>
    <t xml:space="preserve">City of Portland </t>
  </si>
  <si>
    <t>Site Assessment Workshop</t>
  </si>
  <si>
    <t>Monthly Progress Meetings (8)</t>
  </si>
  <si>
    <t>PHASE 1A</t>
  </si>
  <si>
    <t>Furne</t>
  </si>
  <si>
    <t>Holroyd</t>
  </si>
  <si>
    <t>Fee Bookings</t>
  </si>
  <si>
    <t>John H</t>
  </si>
  <si>
    <t>John L</t>
  </si>
  <si>
    <t>Bryan</t>
  </si>
  <si>
    <t>HDR Portland</t>
  </si>
  <si>
    <t>HDR Security</t>
  </si>
  <si>
    <t>2002 with option</t>
  </si>
  <si>
    <t>2002 assured</t>
  </si>
  <si>
    <t>2003 assured</t>
  </si>
  <si>
    <t>2003 with option</t>
  </si>
  <si>
    <t>Labor</t>
  </si>
  <si>
    <t>Expense</t>
  </si>
  <si>
    <t>HDR Port lab</t>
  </si>
  <si>
    <t>HDR Port Exp</t>
  </si>
  <si>
    <t>HDR Portland / Security Net Fee Split</t>
  </si>
  <si>
    <t>Portland Vulnerability Assessment</t>
  </si>
  <si>
    <t>Assuming Bosco takes 50% of Holroyd Fee</t>
  </si>
  <si>
    <t>Total with options</t>
  </si>
  <si>
    <t>Total assured</t>
  </si>
  <si>
    <t>Subcontrctr Markup</t>
  </si>
  <si>
    <t>Tech Support - Crane and Merseth (WBE)</t>
  </si>
  <si>
    <t>Tech Support - Vigil-Agrimis Inc. (MBE)</t>
  </si>
  <si>
    <t>Additional Cyber Assessment Effort</t>
  </si>
  <si>
    <t xml:space="preserve">PROJECT TOTALS </t>
  </si>
  <si>
    <t>Additional RAM-D Assesssment</t>
  </si>
  <si>
    <t>Project Review Meetings (4)</t>
  </si>
  <si>
    <t>Additional Conceptual Security Planning</t>
  </si>
  <si>
    <t>PROJECT TOTALS PHASE 1 and  1A</t>
  </si>
  <si>
    <t>PHASE 1A Subtotal</t>
  </si>
  <si>
    <t>(revised 8/6/02)</t>
  </si>
  <si>
    <t>Basic Services PHASE 1 Subtotal</t>
  </si>
  <si>
    <t>Phase 1 New Tasks -  Subcntrcts/ Mtgs</t>
  </si>
  <si>
    <t>PHASE 1  Subtotal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</si>
</sst>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"/>
    <numFmt numFmtId="173" formatCode="_(* #,##0.0_);_(* \(#,##0.0\);_(* &quot;-&quot;?_);_(@_)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0.0000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44" fontId="0" fillId="0" borderId="0" xfId="17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171" fontId="0" fillId="0" borderId="2" xfId="17" applyNumberFormat="1" applyBorder="1" applyAlignment="1">
      <alignment/>
    </xf>
    <xf numFmtId="171" fontId="0" fillId="0" borderId="1" xfId="17" applyNumberFormat="1" applyBorder="1" applyAlignment="1">
      <alignment/>
    </xf>
    <xf numFmtId="171" fontId="0" fillId="0" borderId="3" xfId="17" applyNumberFormat="1" applyBorder="1" applyAlignment="1">
      <alignment/>
    </xf>
    <xf numFmtId="171" fontId="0" fillId="2" borderId="2" xfId="17" applyNumberFormat="1" applyFill="1" applyBorder="1" applyAlignment="1">
      <alignment/>
    </xf>
    <xf numFmtId="171" fontId="0" fillId="2" borderId="1" xfId="17" applyNumberFormat="1" applyFill="1" applyBorder="1" applyAlignment="1">
      <alignment/>
    </xf>
    <xf numFmtId="171" fontId="0" fillId="2" borderId="3" xfId="17" applyNumberFormat="1" applyFill="1" applyBorder="1" applyAlignment="1">
      <alignment/>
    </xf>
    <xf numFmtId="171" fontId="2" fillId="2" borderId="2" xfId="17" applyNumberFormat="1" applyFont="1" applyFill="1" applyBorder="1" applyAlignment="1">
      <alignment/>
    </xf>
    <xf numFmtId="171" fontId="2" fillId="2" borderId="1" xfId="17" applyNumberFormat="1" applyFont="1" applyFill="1" applyBorder="1" applyAlignment="1">
      <alignment/>
    </xf>
    <xf numFmtId="171" fontId="2" fillId="2" borderId="3" xfId="17" applyNumberFormat="1" applyFont="1" applyFill="1" applyBorder="1" applyAlignment="1">
      <alignment/>
    </xf>
    <xf numFmtId="171" fontId="1" fillId="0" borderId="2" xfId="17" applyNumberFormat="1" applyFont="1" applyBorder="1" applyAlignment="1">
      <alignment/>
    </xf>
    <xf numFmtId="171" fontId="1" fillId="0" borderId="1" xfId="17" applyNumberFormat="1" applyFont="1" applyBorder="1" applyAlignment="1">
      <alignment/>
    </xf>
    <xf numFmtId="171" fontId="1" fillId="0" borderId="3" xfId="17" applyNumberFormat="1" applyFont="1" applyBorder="1" applyAlignment="1">
      <alignment/>
    </xf>
    <xf numFmtId="171" fontId="3" fillId="0" borderId="4" xfId="17" applyNumberFormat="1" applyFont="1" applyBorder="1" applyAlignment="1">
      <alignment/>
    </xf>
    <xf numFmtId="171" fontId="3" fillId="0" borderId="5" xfId="17" applyNumberFormat="1" applyFont="1" applyBorder="1" applyAlignment="1">
      <alignment/>
    </xf>
    <xf numFmtId="171" fontId="3" fillId="0" borderId="6" xfId="17" applyNumberFormat="1" applyFont="1" applyBorder="1" applyAlignment="1">
      <alignment/>
    </xf>
    <xf numFmtId="0" fontId="0" fillId="2" borderId="2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center"/>
    </xf>
    <xf numFmtId="0" fontId="0" fillId="2" borderId="8" xfId="0" applyFill="1" applyBorder="1" applyAlignment="1">
      <alignment/>
    </xf>
    <xf numFmtId="171" fontId="0" fillId="0" borderId="8" xfId="17" applyNumberFormat="1" applyFont="1" applyBorder="1" applyAlignment="1">
      <alignment/>
    </xf>
    <xf numFmtId="171" fontId="0" fillId="0" borderId="8" xfId="17" applyNumberFormat="1" applyBorder="1" applyAlignment="1">
      <alignment/>
    </xf>
    <xf numFmtId="171" fontId="2" fillId="2" borderId="8" xfId="17" applyNumberFormat="1" applyFont="1" applyFill="1" applyBorder="1" applyAlignment="1">
      <alignment/>
    </xf>
    <xf numFmtId="171" fontId="1" fillId="0" borderId="8" xfId="17" applyNumberFormat="1" applyFont="1" applyBorder="1" applyAlignment="1">
      <alignment/>
    </xf>
    <xf numFmtId="171" fontId="3" fillId="0" borderId="9" xfId="17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" fontId="0" fillId="0" borderId="3" xfId="0" applyNumberFormat="1" applyBorder="1" applyAlignment="1">
      <alignment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1" fontId="0" fillId="2" borderId="3" xfId="0" applyNumberFormat="1" applyFill="1" applyBorder="1" applyAlignment="1">
      <alignment/>
    </xf>
    <xf numFmtId="1" fontId="2" fillId="2" borderId="3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1" fontId="1" fillId="0" borderId="1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2" borderId="2" xfId="0" applyFill="1" applyBorder="1" applyAlignment="1">
      <alignment horizontal="center"/>
    </xf>
    <xf numFmtId="1" fontId="0" fillId="0" borderId="3" xfId="0" applyNumberFormat="1" applyFill="1" applyBorder="1" applyAlignment="1">
      <alignment/>
    </xf>
    <xf numFmtId="0" fontId="0" fillId="0" borderId="2" xfId="0" applyFill="1" applyBorder="1" applyAlignment="1">
      <alignment horizontal="center"/>
    </xf>
    <xf numFmtId="0" fontId="1" fillId="0" borderId="2" xfId="0" applyFont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/>
    </xf>
    <xf numFmtId="1" fontId="1" fillId="2" borderId="3" xfId="0" applyNumberFormat="1" applyFont="1" applyFill="1" applyBorder="1" applyAlignment="1">
      <alignment/>
    </xf>
    <xf numFmtId="171" fontId="1" fillId="2" borderId="2" xfId="17" applyNumberFormat="1" applyFont="1" applyFill="1" applyBorder="1" applyAlignment="1">
      <alignment/>
    </xf>
    <xf numFmtId="171" fontId="1" fillId="2" borderId="1" xfId="17" applyNumberFormat="1" applyFont="1" applyFill="1" applyBorder="1" applyAlignment="1">
      <alignment/>
    </xf>
    <xf numFmtId="171" fontId="1" fillId="2" borderId="3" xfId="17" applyNumberFormat="1" applyFont="1" applyFill="1" applyBorder="1" applyAlignment="1">
      <alignment/>
    </xf>
    <xf numFmtId="171" fontId="1" fillId="2" borderId="8" xfId="17" applyNumberFormat="1" applyFont="1" applyFill="1" applyBorder="1" applyAlignment="1">
      <alignment/>
    </xf>
    <xf numFmtId="1" fontId="1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right"/>
    </xf>
    <xf numFmtId="1" fontId="1" fillId="0" borderId="13" xfId="0" applyNumberFormat="1" applyFont="1" applyBorder="1" applyAlignment="1">
      <alignment/>
    </xf>
    <xf numFmtId="171" fontId="1" fillId="0" borderId="13" xfId="17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Fill="1" applyBorder="1" applyAlignment="1">
      <alignment horizontal="right"/>
    </xf>
    <xf numFmtId="1" fontId="3" fillId="0" borderId="16" xfId="0" applyNumberFormat="1" applyFont="1" applyBorder="1" applyAlignment="1">
      <alignment/>
    </xf>
    <xf numFmtId="171" fontId="3" fillId="0" borderId="16" xfId="17" applyNumberFormat="1" applyFont="1" applyBorder="1" applyAlignment="1">
      <alignment/>
    </xf>
    <xf numFmtId="171" fontId="0" fillId="0" borderId="2" xfId="17" applyNumberFormat="1" applyFont="1" applyBorder="1" applyAlignment="1">
      <alignment/>
    </xf>
    <xf numFmtId="171" fontId="0" fillId="0" borderId="1" xfId="17" applyNumberFormat="1" applyFont="1" applyBorder="1" applyAlignment="1">
      <alignment/>
    </xf>
    <xf numFmtId="171" fontId="0" fillId="0" borderId="3" xfId="17" applyNumberFormat="1" applyFont="1" applyBorder="1" applyAlignment="1">
      <alignment/>
    </xf>
    <xf numFmtId="0" fontId="1" fillId="0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left"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71" fontId="1" fillId="0" borderId="19" xfId="17" applyNumberFormat="1" applyFont="1" applyBorder="1" applyAlignment="1">
      <alignment/>
    </xf>
    <xf numFmtId="171" fontId="1" fillId="0" borderId="9" xfId="17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171" fontId="3" fillId="0" borderId="20" xfId="17" applyNumberFormat="1" applyFont="1" applyBorder="1" applyAlignment="1">
      <alignment/>
    </xf>
    <xf numFmtId="171" fontId="3" fillId="0" borderId="21" xfId="17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10" fontId="2" fillId="0" borderId="0" xfId="21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1" fontId="1" fillId="0" borderId="12" xfId="17" applyNumberFormat="1" applyFont="1" applyBorder="1" applyAlignment="1">
      <alignment/>
    </xf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17" applyNumberFormat="1" applyAlignment="1">
      <alignment/>
    </xf>
    <xf numFmtId="4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Border="1" applyAlignment="1">
      <alignment/>
    </xf>
    <xf numFmtId="171" fontId="3" fillId="0" borderId="22" xfId="17" applyNumberFormat="1" applyFont="1" applyBorder="1" applyAlignment="1">
      <alignment/>
    </xf>
    <xf numFmtId="171" fontId="3" fillId="0" borderId="0" xfId="17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0" borderId="0" xfId="15" applyNumberFormat="1" applyAlignment="1">
      <alignment/>
    </xf>
    <xf numFmtId="0" fontId="7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1" fontId="0" fillId="0" borderId="13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71" fontId="0" fillId="0" borderId="12" xfId="17" applyNumberFormat="1" applyFont="1" applyBorder="1" applyAlignment="1">
      <alignment/>
    </xf>
    <xf numFmtId="171" fontId="0" fillId="0" borderId="13" xfId="17" applyNumberFormat="1" applyFont="1" applyBorder="1" applyAlignment="1">
      <alignment/>
    </xf>
    <xf numFmtId="171" fontId="0" fillId="0" borderId="19" xfId="17" applyNumberFormat="1" applyFont="1" applyBorder="1" applyAlignment="1">
      <alignment/>
    </xf>
    <xf numFmtId="171" fontId="0" fillId="0" borderId="23" xfId="17" applyNumberFormat="1" applyFont="1" applyBorder="1" applyAlignment="1">
      <alignment/>
    </xf>
    <xf numFmtId="44" fontId="0" fillId="0" borderId="0" xfId="0" applyNumberFormat="1" applyAlignment="1">
      <alignment/>
    </xf>
    <xf numFmtId="9" fontId="8" fillId="0" borderId="0" xfId="21" applyFont="1" applyAlignment="1">
      <alignment/>
    </xf>
    <xf numFmtId="0" fontId="3" fillId="0" borderId="24" xfId="0" applyFont="1" applyBorder="1" applyAlignment="1">
      <alignment/>
    </xf>
    <xf numFmtId="0" fontId="3" fillId="0" borderId="18" xfId="0" applyFont="1" applyFill="1" applyBorder="1" applyAlignment="1">
      <alignment horizontal="right"/>
    </xf>
    <xf numFmtId="1" fontId="3" fillId="0" borderId="25" xfId="0" applyNumberFormat="1" applyFont="1" applyBorder="1" applyAlignment="1">
      <alignment/>
    </xf>
    <xf numFmtId="171" fontId="3" fillId="0" borderId="26" xfId="17" applyNumberFormat="1" applyFont="1" applyBorder="1" applyAlignment="1">
      <alignment/>
    </xf>
    <xf numFmtId="171" fontId="3" fillId="0" borderId="25" xfId="17" applyNumberFormat="1" applyFont="1" applyBorder="1" applyAlignment="1">
      <alignment/>
    </xf>
    <xf numFmtId="171" fontId="3" fillId="0" borderId="27" xfId="17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171" fontId="1" fillId="0" borderId="28" xfId="17" applyNumberFormat="1" applyFont="1" applyBorder="1" applyAlignment="1">
      <alignment/>
    </xf>
    <xf numFmtId="1" fontId="1" fillId="0" borderId="29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0" fontId="1" fillId="0" borderId="29" xfId="0" applyFont="1" applyBorder="1" applyAlignment="1">
      <alignment/>
    </xf>
    <xf numFmtId="171" fontId="1" fillId="0" borderId="0" xfId="0" applyNumberFormat="1" applyFont="1" applyAlignment="1">
      <alignment/>
    </xf>
    <xf numFmtId="176" fontId="0" fillId="0" borderId="13" xfId="15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E7" sqref="E7"/>
    </sheetView>
  </sheetViews>
  <sheetFormatPr defaultColWidth="9.140625" defaultRowHeight="12.75"/>
  <sheetData>
    <row r="2" ht="12.75">
      <c r="A2" t="s">
        <v>64</v>
      </c>
    </row>
    <row r="4" spans="2:4" ht="12.75">
      <c r="B4" s="154" t="s">
        <v>68</v>
      </c>
      <c r="C4" s="154"/>
      <c r="D4" t="s">
        <v>69</v>
      </c>
    </row>
    <row r="5" spans="2:5" ht="12.75">
      <c r="B5">
        <v>2002</v>
      </c>
      <c r="C5">
        <v>2003</v>
      </c>
      <c r="D5">
        <v>2002</v>
      </c>
      <c r="E5">
        <v>2003</v>
      </c>
    </row>
    <row r="6" ht="12.75">
      <c r="A6" t="s">
        <v>65</v>
      </c>
    </row>
    <row r="7" ht="12.75">
      <c r="A7" t="s">
        <v>66</v>
      </c>
    </row>
    <row r="8" ht="12.75">
      <c r="A8" t="s">
        <v>67</v>
      </c>
    </row>
  </sheetData>
  <mergeCells count="1">
    <mergeCell ref="B4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12.421875" style="0" bestFit="1" customWidth="1"/>
    <col min="3" max="3" width="11.421875" style="0" bestFit="1" customWidth="1"/>
    <col min="4" max="5" width="12.421875" style="0" bestFit="1" customWidth="1"/>
    <col min="6" max="6" width="10.421875" style="0" bestFit="1" customWidth="1"/>
    <col min="7" max="7" width="12.421875" style="0" bestFit="1" customWidth="1"/>
    <col min="8" max="8" width="12.28125" style="0" bestFit="1" customWidth="1"/>
    <col min="9" max="9" width="11.421875" style="0" bestFit="1" customWidth="1"/>
    <col min="10" max="10" width="12.421875" style="0" bestFit="1" customWidth="1"/>
  </cols>
  <sheetData>
    <row r="1" ht="20.25">
      <c r="A1" s="130" t="s">
        <v>78</v>
      </c>
    </row>
    <row r="2" ht="20.25">
      <c r="A2" s="130" t="s">
        <v>79</v>
      </c>
    </row>
    <row r="4" spans="2:10" ht="12.75">
      <c r="B4" s="154" t="s">
        <v>29</v>
      </c>
      <c r="C4" s="154"/>
      <c r="D4" s="154"/>
      <c r="E4" s="154" t="s">
        <v>68</v>
      </c>
      <c r="F4" s="154"/>
      <c r="G4" s="154"/>
      <c r="H4" s="154" t="s">
        <v>69</v>
      </c>
      <c r="I4" s="154"/>
      <c r="J4" s="154"/>
    </row>
    <row r="5" spans="2:10" ht="12.75">
      <c r="B5" s="10" t="s">
        <v>74</v>
      </c>
      <c r="C5" s="10" t="s">
        <v>75</v>
      </c>
      <c r="D5" s="10" t="s">
        <v>55</v>
      </c>
      <c r="E5" s="10" t="s">
        <v>74</v>
      </c>
      <c r="F5" s="10" t="s">
        <v>75</v>
      </c>
      <c r="G5" s="10" t="s">
        <v>55</v>
      </c>
      <c r="H5" s="10" t="s">
        <v>74</v>
      </c>
      <c r="I5" s="10" t="s">
        <v>75</v>
      </c>
      <c r="J5" s="10" t="s">
        <v>55</v>
      </c>
    </row>
    <row r="6" spans="1:10" ht="12.75">
      <c r="A6" s="10" t="s">
        <v>71</v>
      </c>
      <c r="B6" s="121">
        <v>215911.10335353538</v>
      </c>
      <c r="C6" s="121">
        <v>18777.299323108637</v>
      </c>
      <c r="D6" s="121">
        <v>234688.402676644</v>
      </c>
      <c r="E6" s="121">
        <v>148222.0476767677</v>
      </c>
      <c r="F6" s="121">
        <v>4694.324830777159</v>
      </c>
      <c r="G6" s="121">
        <v>152916.37250754485</v>
      </c>
      <c r="H6" s="121">
        <v>67689.05567676768</v>
      </c>
      <c r="I6" s="121">
        <v>14082.974492331477</v>
      </c>
      <c r="J6" s="121">
        <v>81772.03016909915</v>
      </c>
    </row>
    <row r="7" spans="1:10" ht="12.75">
      <c r="A7" s="10" t="s">
        <v>70</v>
      </c>
      <c r="B7" s="121">
        <v>279551.26270707074</v>
      </c>
      <c r="C7" s="121">
        <v>25518.5744731761</v>
      </c>
      <c r="D7" s="121">
        <v>305069.83718024683</v>
      </c>
      <c r="E7" s="121">
        <v>188462.27135353535</v>
      </c>
      <c r="F7" s="121">
        <v>6379.643618294025</v>
      </c>
      <c r="G7" s="121">
        <v>194841.9149718294</v>
      </c>
      <c r="H7" s="121">
        <v>91088.99135353536</v>
      </c>
      <c r="I7" s="121">
        <v>19138.930854882077</v>
      </c>
      <c r="J7" s="121">
        <v>110227.92220841744</v>
      </c>
    </row>
    <row r="8" spans="1:10" ht="12.75">
      <c r="A8" s="10" t="s">
        <v>72</v>
      </c>
      <c r="B8" s="121">
        <v>41471.74076767677</v>
      </c>
      <c r="C8" s="121">
        <v>3523.942905627706</v>
      </c>
      <c r="D8" s="121">
        <v>44995.68367330448</v>
      </c>
      <c r="E8" s="121">
        <v>23123.102383838384</v>
      </c>
      <c r="F8" s="121">
        <v>880.9857264069265</v>
      </c>
      <c r="G8" s="121">
        <v>24004.08811024531</v>
      </c>
      <c r="H8" s="121">
        <v>18348.638383838384</v>
      </c>
      <c r="I8" s="121">
        <v>2642.9571792207794</v>
      </c>
      <c r="J8" s="121">
        <v>20991.595563059163</v>
      </c>
    </row>
    <row r="9" spans="1:10" ht="12.75">
      <c r="A9" s="10" t="s">
        <v>73</v>
      </c>
      <c r="B9" s="121">
        <v>105111.90012121214</v>
      </c>
      <c r="C9" s="121">
        <v>10265.21805569517</v>
      </c>
      <c r="D9" s="121">
        <v>115377.1181769073</v>
      </c>
      <c r="E9" s="121">
        <v>63363.326060606065</v>
      </c>
      <c r="F9" s="121">
        <v>2566.3045139237925</v>
      </c>
      <c r="G9" s="121">
        <v>65929.63057452986</v>
      </c>
      <c r="H9" s="121">
        <v>41748.57406060606</v>
      </c>
      <c r="I9" s="121">
        <v>7698.913541771377</v>
      </c>
      <c r="J9" s="121">
        <v>49447.487602377434</v>
      </c>
    </row>
    <row r="10" spans="1:10" ht="12.75">
      <c r="A10" s="10" t="s">
        <v>82</v>
      </c>
      <c r="B10" s="121"/>
      <c r="C10" s="121"/>
      <c r="D10" s="121"/>
      <c r="E10" s="121"/>
      <c r="F10" s="121"/>
      <c r="G10" s="121">
        <f>G6+G8</f>
        <v>176920.46061779014</v>
      </c>
      <c r="H10" s="121"/>
      <c r="I10" s="121"/>
      <c r="J10" s="121">
        <f>J6+J8</f>
        <v>102763.62573215831</v>
      </c>
    </row>
    <row r="11" spans="1:10" ht="12.75">
      <c r="A11" s="10" t="s">
        <v>81</v>
      </c>
      <c r="B11" s="121"/>
      <c r="C11" s="121"/>
      <c r="D11" s="121"/>
      <c r="E11" s="121"/>
      <c r="F11" s="121"/>
      <c r="G11" s="121">
        <f>G9+G7</f>
        <v>260771.54554635927</v>
      </c>
      <c r="H11" s="121"/>
      <c r="I11" s="121"/>
      <c r="J11" s="121">
        <f>J9+J7</f>
        <v>159675.40981079487</v>
      </c>
    </row>
    <row r="12" spans="1:10" ht="60" customHeight="1">
      <c r="A12" s="155" t="s">
        <v>80</v>
      </c>
      <c r="B12" s="155"/>
      <c r="C12" s="155"/>
      <c r="D12" s="155"/>
      <c r="E12" s="155"/>
      <c r="F12" s="155"/>
      <c r="G12" s="155"/>
      <c r="H12" s="155"/>
      <c r="I12" s="155"/>
      <c r="J12" s="155"/>
    </row>
    <row r="13" spans="1:10" ht="12.75">
      <c r="A13" s="10" t="s">
        <v>71</v>
      </c>
      <c r="B13" s="121">
        <v>215911.10335353538</v>
      </c>
      <c r="C13" s="121">
        <v>18777.299323108637</v>
      </c>
      <c r="D13" s="121">
        <v>234688.402676644</v>
      </c>
      <c r="E13" s="121">
        <v>120678.04767676769</v>
      </c>
      <c r="F13" s="121">
        <v>4694.324830777159</v>
      </c>
      <c r="G13" s="121">
        <v>125372.37250754485</v>
      </c>
      <c r="H13" s="121">
        <v>95233.05567676768</v>
      </c>
      <c r="I13" s="121">
        <v>14082.974492331477</v>
      </c>
      <c r="J13" s="121">
        <v>109316.03016909915</v>
      </c>
    </row>
    <row r="14" spans="1:10" ht="12.75">
      <c r="A14" s="10" t="s">
        <v>70</v>
      </c>
      <c r="B14" s="121">
        <v>279551.26270707074</v>
      </c>
      <c r="C14" s="121">
        <v>25518.5744731761</v>
      </c>
      <c r="D14" s="121">
        <v>305069.83718024683</v>
      </c>
      <c r="E14" s="121">
        <v>152778.27135353535</v>
      </c>
      <c r="F14" s="121">
        <v>6379.643618294025</v>
      </c>
      <c r="G14" s="121">
        <v>159157.9149718294</v>
      </c>
      <c r="H14" s="121">
        <v>126772.99135353536</v>
      </c>
      <c r="I14" s="121">
        <v>19138.930854882077</v>
      </c>
      <c r="J14" s="121">
        <v>145911.92220841744</v>
      </c>
    </row>
    <row r="15" spans="1:10" ht="12.75">
      <c r="A15" s="10" t="s">
        <v>72</v>
      </c>
      <c r="B15" s="121">
        <v>41471.74076767677</v>
      </c>
      <c r="C15" s="121">
        <v>3523.942905627706</v>
      </c>
      <c r="D15" s="121">
        <v>44995.68367330448</v>
      </c>
      <c r="E15" s="121">
        <v>22419.102383838384</v>
      </c>
      <c r="F15" s="121">
        <v>880.9857264069265</v>
      </c>
      <c r="G15" s="121">
        <v>23300.08811024531</v>
      </c>
      <c r="H15" s="121">
        <v>19052.638383838384</v>
      </c>
      <c r="I15" s="121">
        <v>2642.9571792207794</v>
      </c>
      <c r="J15" s="121">
        <v>21695.595563059163</v>
      </c>
    </row>
    <row r="16" spans="1:10" ht="12.75">
      <c r="A16" s="10" t="s">
        <v>73</v>
      </c>
      <c r="B16" s="121">
        <v>105111.90012121214</v>
      </c>
      <c r="C16" s="121">
        <v>10265.21805569517</v>
      </c>
      <c r="D16" s="121">
        <v>115377.1181769073</v>
      </c>
      <c r="E16" s="121">
        <v>54519.326060606065</v>
      </c>
      <c r="F16" s="121">
        <v>2566.3045139237925</v>
      </c>
      <c r="G16" s="121">
        <v>57085.63057452986</v>
      </c>
      <c r="H16" s="121">
        <v>50592.57406060606</v>
      </c>
      <c r="I16" s="121">
        <v>7698.913541771377</v>
      </c>
      <c r="J16" s="121">
        <v>58291.487602377434</v>
      </c>
    </row>
    <row r="17" spans="1:10" ht="12.75">
      <c r="A17" s="10" t="s">
        <v>82</v>
      </c>
      <c r="G17" s="120">
        <f>G15+G13</f>
        <v>148672.46061779014</v>
      </c>
      <c r="J17" s="120">
        <f>J13+J15</f>
        <v>131011.62573215831</v>
      </c>
    </row>
    <row r="18" spans="1:10" ht="12.75">
      <c r="A18" s="10" t="s">
        <v>81</v>
      </c>
      <c r="G18" s="120">
        <f>G16+G14</f>
        <v>216243.54554635927</v>
      </c>
      <c r="J18" s="120">
        <f>J16+J14</f>
        <v>204203.40981079487</v>
      </c>
    </row>
  </sheetData>
  <mergeCells count="4">
    <mergeCell ref="B4:D4"/>
    <mergeCell ref="E4:G4"/>
    <mergeCell ref="H4:J4"/>
    <mergeCell ref="A12:J12"/>
  </mergeCells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3"/>
  <sheetViews>
    <sheetView tabSelected="1" zoomScale="75" zoomScaleNormal="75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3" sqref="C13"/>
    </sheetView>
  </sheetViews>
  <sheetFormatPr defaultColWidth="9.140625" defaultRowHeight="12.75"/>
  <cols>
    <col min="2" max="2" width="43.421875" style="0" customWidth="1"/>
    <col min="3" max="3" width="11.7109375" style="0" customWidth="1"/>
    <col min="5" max="5" width="10.57421875" style="0" customWidth="1"/>
    <col min="6" max="6" width="10.28125" style="0" customWidth="1"/>
    <col min="7" max="7" width="10.00390625" style="0" customWidth="1"/>
    <col min="8" max="10" width="10.7109375" style="0" customWidth="1"/>
    <col min="11" max="12" width="10.8515625" style="0" customWidth="1"/>
    <col min="14" max="14" width="9.8515625" style="0" customWidth="1"/>
    <col min="15" max="15" width="10.8515625" style="0" customWidth="1"/>
    <col min="16" max="16" width="19.28125" style="0" customWidth="1"/>
    <col min="17" max="17" width="14.421875" style="0" customWidth="1"/>
    <col min="18" max="18" width="14.57421875" style="0" customWidth="1"/>
    <col min="19" max="19" width="13.7109375" style="0" customWidth="1"/>
    <col min="20" max="20" width="12.28125" style="0" customWidth="1"/>
    <col min="21" max="21" width="14.140625" style="0" customWidth="1"/>
    <col min="22" max="22" width="13.28125" style="0" customWidth="1"/>
    <col min="23" max="23" width="12.00390625" style="0" customWidth="1"/>
    <col min="24" max="24" width="13.8515625" style="0" customWidth="1"/>
    <col min="25" max="25" width="14.7109375" style="0" customWidth="1"/>
    <col min="26" max="26" width="11.8515625" style="0" bestFit="1" customWidth="1"/>
    <col min="27" max="28" width="10.7109375" style="0" customWidth="1"/>
  </cols>
  <sheetData>
    <row r="1" spans="1:25" ht="20.25">
      <c r="A1" s="157" t="s">
        <v>57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20.25">
      <c r="A2" s="157" t="s">
        <v>58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 ht="15.75">
      <c r="A3" s="161" t="s">
        <v>93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spans="1:25" ht="2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ht="12.75" hidden="1"/>
    <row r="6" spans="2:15" ht="12.75" hidden="1">
      <c r="B6">
        <v>3.2</v>
      </c>
      <c r="C6" s="11">
        <f>C7*$B$6</f>
        <v>138.432</v>
      </c>
      <c r="D6" s="11">
        <f aca="true" t="shared" si="0" ref="D6:O6">D7*$B$6</f>
        <v>131.20000000000002</v>
      </c>
      <c r="E6" s="11">
        <f t="shared" si="0"/>
        <v>200</v>
      </c>
      <c r="F6" s="11">
        <f t="shared" si="0"/>
        <v>176</v>
      </c>
      <c r="G6" s="11">
        <f t="shared" si="0"/>
        <v>92.32000000000001</v>
      </c>
      <c r="H6" s="11">
        <f t="shared" si="0"/>
        <v>114.048</v>
      </c>
      <c r="I6" s="11">
        <f t="shared" si="0"/>
        <v>126.4</v>
      </c>
      <c r="J6" s="11">
        <f t="shared" si="0"/>
        <v>176</v>
      </c>
      <c r="K6" s="11">
        <f t="shared" si="0"/>
        <v>169.60000000000002</v>
      </c>
      <c r="L6" s="11">
        <f t="shared" si="0"/>
        <v>164.99200000000002</v>
      </c>
      <c r="M6" s="11">
        <f t="shared" si="0"/>
        <v>70.912</v>
      </c>
      <c r="N6" s="11">
        <f t="shared" si="0"/>
        <v>63.68</v>
      </c>
      <c r="O6" s="11">
        <f t="shared" si="0"/>
        <v>91.2</v>
      </c>
    </row>
    <row r="7" spans="3:15" ht="12.75" hidden="1">
      <c r="C7" s="11">
        <v>43.26</v>
      </c>
      <c r="D7" s="11">
        <v>41</v>
      </c>
      <c r="E7" s="11">
        <v>62.5</v>
      </c>
      <c r="F7" s="11">
        <v>55</v>
      </c>
      <c r="G7" s="11">
        <v>28.85</v>
      </c>
      <c r="H7" s="11">
        <v>35.64</v>
      </c>
      <c r="I7" s="11">
        <v>39.5</v>
      </c>
      <c r="J7" s="11">
        <v>55</v>
      </c>
      <c r="K7" s="11">
        <v>53</v>
      </c>
      <c r="L7" s="11">
        <v>51.56</v>
      </c>
      <c r="M7" s="11">
        <v>22.16</v>
      </c>
      <c r="N7" s="11">
        <v>19.9</v>
      </c>
      <c r="O7" s="11">
        <v>28.5</v>
      </c>
    </row>
    <row r="8" spans="3:17" ht="13.5" thickBot="1">
      <c r="C8" t="s">
        <v>50</v>
      </c>
      <c r="D8" t="s">
        <v>51</v>
      </c>
      <c r="E8" t="s">
        <v>52</v>
      </c>
      <c r="F8" t="s">
        <v>63</v>
      </c>
      <c r="G8" t="s">
        <v>43</v>
      </c>
      <c r="H8" t="s">
        <v>53</v>
      </c>
      <c r="I8" t="s">
        <v>62</v>
      </c>
      <c r="J8" t="s">
        <v>44</v>
      </c>
      <c r="K8" t="s">
        <v>45</v>
      </c>
      <c r="L8" t="s">
        <v>46</v>
      </c>
      <c r="M8" t="s">
        <v>47</v>
      </c>
      <c r="N8" t="s">
        <v>48</v>
      </c>
      <c r="O8" t="s">
        <v>49</v>
      </c>
      <c r="Q8" s="140">
        <v>0.08</v>
      </c>
    </row>
    <row r="9" spans="1:25" ht="12.75">
      <c r="A9" s="53"/>
      <c r="B9" s="54"/>
      <c r="C9" s="158" t="s">
        <v>2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9"/>
      <c r="P9" s="160" t="s">
        <v>29</v>
      </c>
      <c r="Q9" s="158"/>
      <c r="R9" s="159"/>
      <c r="S9" s="160" t="s">
        <v>30</v>
      </c>
      <c r="T9" s="158"/>
      <c r="U9" s="159"/>
      <c r="V9" s="160" t="s">
        <v>31</v>
      </c>
      <c r="W9" s="158"/>
      <c r="X9" s="159"/>
      <c r="Y9" s="45"/>
    </row>
    <row r="10" spans="1:26" ht="51" customHeight="1">
      <c r="A10" s="55" t="s">
        <v>0</v>
      </c>
      <c r="B10" s="56" t="s">
        <v>1</v>
      </c>
      <c r="C10" s="20" t="s">
        <v>3</v>
      </c>
      <c r="D10" s="20" t="s">
        <v>42</v>
      </c>
      <c r="E10" s="20" t="s">
        <v>37</v>
      </c>
      <c r="F10" s="20" t="s">
        <v>28</v>
      </c>
      <c r="G10" s="20" t="s">
        <v>27</v>
      </c>
      <c r="H10" s="20" t="s">
        <v>38</v>
      </c>
      <c r="I10" s="20" t="s">
        <v>39</v>
      </c>
      <c r="J10" s="20" t="s">
        <v>35</v>
      </c>
      <c r="K10" s="20" t="s">
        <v>32</v>
      </c>
      <c r="L10" s="20" t="s">
        <v>33</v>
      </c>
      <c r="M10" s="20" t="s">
        <v>4</v>
      </c>
      <c r="N10" s="20" t="s">
        <v>23</v>
      </c>
      <c r="O10" s="21" t="s">
        <v>24</v>
      </c>
      <c r="P10" s="19" t="s">
        <v>5</v>
      </c>
      <c r="Q10" s="20" t="s">
        <v>6</v>
      </c>
      <c r="R10" s="21" t="s">
        <v>17</v>
      </c>
      <c r="S10" s="19" t="s">
        <v>5</v>
      </c>
      <c r="T10" s="20" t="s">
        <v>83</v>
      </c>
      <c r="U10" s="21" t="s">
        <v>17</v>
      </c>
      <c r="V10" s="19" t="s">
        <v>5</v>
      </c>
      <c r="W10" s="20" t="s">
        <v>83</v>
      </c>
      <c r="X10" s="21" t="s">
        <v>17</v>
      </c>
      <c r="Y10" s="46" t="s">
        <v>7</v>
      </c>
      <c r="Z10" s="8" t="s">
        <v>54</v>
      </c>
    </row>
    <row r="11" spans="1:25" ht="20.25">
      <c r="A11" s="57"/>
      <c r="B11" s="101" t="s">
        <v>36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  <c r="P11" s="22"/>
      <c r="Q11" s="23"/>
      <c r="R11" s="24"/>
      <c r="S11" s="40"/>
      <c r="T11" s="41"/>
      <c r="U11" s="42"/>
      <c r="V11" s="43"/>
      <c r="W11" s="44"/>
      <c r="X11" s="42"/>
      <c r="Y11" s="47"/>
    </row>
    <row r="12" spans="1:29" ht="12.75">
      <c r="A12" s="57">
        <v>100</v>
      </c>
      <c r="B12" s="58" t="s">
        <v>9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/>
      <c r="P12" s="22"/>
      <c r="Q12" s="23"/>
      <c r="R12" s="24"/>
      <c r="S12" s="40"/>
      <c r="T12" s="41"/>
      <c r="U12" s="42"/>
      <c r="V12" s="43"/>
      <c r="W12" s="44"/>
      <c r="X12" s="42"/>
      <c r="Y12" s="47"/>
      <c r="Z12" s="10" t="s">
        <v>29</v>
      </c>
      <c r="AA12" s="10" t="s">
        <v>30</v>
      </c>
      <c r="AB12" s="10" t="s">
        <v>31</v>
      </c>
      <c r="AC12" s="10" t="s">
        <v>55</v>
      </c>
    </row>
    <row r="13" spans="1:30" ht="12.75">
      <c r="A13" s="4">
        <v>110</v>
      </c>
      <c r="B13" s="2" t="s">
        <v>8</v>
      </c>
      <c r="C13" s="3">
        <v>2</v>
      </c>
      <c r="D13" s="3">
        <v>2</v>
      </c>
      <c r="E13" s="3">
        <v>8</v>
      </c>
      <c r="F13" s="3">
        <v>3</v>
      </c>
      <c r="G13" s="3">
        <v>0</v>
      </c>
      <c r="H13" s="3">
        <v>6</v>
      </c>
      <c r="I13" s="3">
        <v>8</v>
      </c>
      <c r="J13" s="3">
        <v>0</v>
      </c>
      <c r="K13" s="3">
        <v>0</v>
      </c>
      <c r="L13" s="3">
        <v>0</v>
      </c>
      <c r="M13" s="3">
        <v>0</v>
      </c>
      <c r="N13" s="3">
        <v>2</v>
      </c>
      <c r="O13" s="59">
        <v>8</v>
      </c>
      <c r="P13" s="25">
        <f>C13*$C$6+D13*$D$6+E13*$E$6+F13*$F$6+G13*$G$6+H13*$H$6+I13*$I$6+J13*$J$6+M13*$M$6+(N13*$N$6+O13*$O$6)*Z13/AC13</f>
        <v>5219.712</v>
      </c>
      <c r="Q13" s="26">
        <f>$Q$8*P13</f>
        <v>417.57696000000004</v>
      </c>
      <c r="R13" s="27">
        <f>SUM(P13:Q13)</f>
        <v>5637.288960000001</v>
      </c>
      <c r="S13" s="25">
        <f>K13*$K$6+(N13*$N$6+O13*$O$6)*AA13/AC13</f>
        <v>0</v>
      </c>
      <c r="T13" s="26">
        <f>S13*$Q$8</f>
        <v>0</v>
      </c>
      <c r="U13" s="27">
        <f>SUM(S13:T13)</f>
        <v>0</v>
      </c>
      <c r="V13" s="25">
        <f>L13*$L$6+(N13*$N$6+O13*$O$6)*AB13/AC13</f>
        <v>0</v>
      </c>
      <c r="W13" s="26">
        <f>V13*$Q$8</f>
        <v>0</v>
      </c>
      <c r="X13" s="27">
        <f>SUM(V13:W13)</f>
        <v>0</v>
      </c>
      <c r="Y13" s="48">
        <f>X13+U13+R13</f>
        <v>5637.288960000001</v>
      </c>
      <c r="Z13" s="1">
        <f>SUM(C13:J13)+M13</f>
        <v>29</v>
      </c>
      <c r="AA13" s="9">
        <f>SUM(K13)</f>
        <v>0</v>
      </c>
      <c r="AB13" s="1">
        <f>SUM(L13)</f>
        <v>0</v>
      </c>
      <c r="AC13" s="1">
        <f>SUM(C13:M13)</f>
        <v>29</v>
      </c>
      <c r="AD13" s="1"/>
    </row>
    <row r="14" spans="1:30" ht="12.75">
      <c r="A14" s="4">
        <v>120</v>
      </c>
      <c r="B14" s="2" t="s">
        <v>10</v>
      </c>
      <c r="C14" s="3">
        <v>2</v>
      </c>
      <c r="D14" s="3">
        <v>2</v>
      </c>
      <c r="E14" s="3">
        <v>6</v>
      </c>
      <c r="F14" s="3">
        <v>24</v>
      </c>
      <c r="G14" s="3">
        <v>0</v>
      </c>
      <c r="H14" s="3">
        <v>15</v>
      </c>
      <c r="I14" s="3">
        <v>12</v>
      </c>
      <c r="J14" s="3">
        <v>8</v>
      </c>
      <c r="K14" s="3">
        <v>12</v>
      </c>
      <c r="L14" s="3">
        <v>4</v>
      </c>
      <c r="M14" s="3">
        <v>0</v>
      </c>
      <c r="N14" s="3">
        <v>3</v>
      </c>
      <c r="O14" s="59">
        <v>6</v>
      </c>
      <c r="P14" s="25">
        <f>C14*$C$6+D14*$D$6+E14*$E$6+F14*$F$6+G14*$G$6+H14*$H$6+I14*$I$6+J14*$J$6+M14*$M$6+(N14*$N$6+O14*$O$6)*Z14/AC14</f>
        <v>11198.061176470588</v>
      </c>
      <c r="Q14" s="26">
        <f>$Q$8*P14</f>
        <v>895.8448941176471</v>
      </c>
      <c r="R14" s="27">
        <f>SUM(P14:Q14)</f>
        <v>12093.906070588235</v>
      </c>
      <c r="S14" s="25">
        <f>K14*$K$6+(N14*$N$6+O14*$O$6)*AA14/AC14</f>
        <v>2139.422117647059</v>
      </c>
      <c r="T14" s="26">
        <f>S14*$Q$8</f>
        <v>171.15376941176473</v>
      </c>
      <c r="U14" s="27">
        <f>SUM(S14:T14)</f>
        <v>2310.575887058824</v>
      </c>
      <c r="V14" s="25">
        <f>L14*$L$6+(N14*$N$6+O14*$O$6)*AB14/AC14</f>
        <v>694.708705882353</v>
      </c>
      <c r="W14" s="26">
        <f>V14*$Q$8</f>
        <v>55.57669647058824</v>
      </c>
      <c r="X14" s="27">
        <f>SUM(V14:W14)</f>
        <v>750.2854023529412</v>
      </c>
      <c r="Y14" s="48">
        <f>X14+U14+R14</f>
        <v>15154.76736</v>
      </c>
      <c r="Z14" s="1">
        <f aca="true" t="shared" si="1" ref="Z14:Z38">SUM(C14:J14)+M14</f>
        <v>69</v>
      </c>
      <c r="AA14" s="9">
        <f aca="true" t="shared" si="2" ref="AA14:AA38">SUM(K14)</f>
        <v>12</v>
      </c>
      <c r="AB14" s="1">
        <f aca="true" t="shared" si="3" ref="AB14:AB38">SUM(L14)</f>
        <v>4</v>
      </c>
      <c r="AC14" s="1">
        <f aca="true" t="shared" si="4" ref="AC14:AC38">SUM(C14:M14)</f>
        <v>85</v>
      </c>
      <c r="AD14" s="1"/>
    </row>
    <row r="15" spans="1:30" ht="12.75">
      <c r="A15" s="4">
        <v>130</v>
      </c>
      <c r="B15" s="2" t="s">
        <v>11</v>
      </c>
      <c r="C15" s="3">
        <v>2</v>
      </c>
      <c r="D15" s="3">
        <v>2</v>
      </c>
      <c r="E15" s="3">
        <v>12</v>
      </c>
      <c r="F15" s="3">
        <v>2</v>
      </c>
      <c r="G15" s="3">
        <v>0</v>
      </c>
      <c r="H15" s="3">
        <v>35</v>
      </c>
      <c r="I15" s="3">
        <v>24</v>
      </c>
      <c r="J15" s="3">
        <v>0</v>
      </c>
      <c r="K15" s="3">
        <v>20</v>
      </c>
      <c r="L15" s="3">
        <v>8</v>
      </c>
      <c r="M15" s="3">
        <v>0</v>
      </c>
      <c r="N15" s="3">
        <v>20</v>
      </c>
      <c r="O15" s="59">
        <v>8</v>
      </c>
      <c r="P15" s="25">
        <f>C15*$C$6+D15*$D$6+E15*$E$6+F15*$F$6+G15*$G$6+H15*$H$6+I15*$I$6+J15*$J$6+M15*$M$6+(N15*$N$6+O15*$O$6)*Z15/AC15</f>
        <v>11785.557333333334</v>
      </c>
      <c r="Q15" s="26">
        <f>$Q$8*P15</f>
        <v>942.8445866666667</v>
      </c>
      <c r="R15" s="27">
        <f>SUM(P15:Q15)</f>
        <v>12728.40192</v>
      </c>
      <c r="S15" s="25">
        <f>K15*$K$6+(N15*$N$6+O15*$O$6)*AA15/AC15</f>
        <v>3773.561904761905</v>
      </c>
      <c r="T15" s="26">
        <f>S15*$Q$8</f>
        <v>301.8849523809524</v>
      </c>
      <c r="U15" s="27">
        <f>SUM(S15:T15)</f>
        <v>4075.446857142858</v>
      </c>
      <c r="V15" s="25">
        <f>L15*$L$6+(N15*$N$6+O15*$O$6)*AB15/AC15</f>
        <v>1472.560761904762</v>
      </c>
      <c r="W15" s="26">
        <f>V15*$Q$8</f>
        <v>117.80486095238098</v>
      </c>
      <c r="X15" s="27">
        <f>SUM(V15:W15)</f>
        <v>1590.365622857143</v>
      </c>
      <c r="Y15" s="48">
        <f>X15+U15+R15</f>
        <v>18394.2144</v>
      </c>
      <c r="Z15" s="1">
        <f t="shared" si="1"/>
        <v>77</v>
      </c>
      <c r="AA15" s="9">
        <f t="shared" si="2"/>
        <v>20</v>
      </c>
      <c r="AB15" s="1">
        <f t="shared" si="3"/>
        <v>8</v>
      </c>
      <c r="AC15" s="1">
        <f t="shared" si="4"/>
        <v>105</v>
      </c>
      <c r="AD15" s="1"/>
    </row>
    <row r="16" spans="1:30" ht="12.75">
      <c r="A16" s="4">
        <v>140</v>
      </c>
      <c r="B16" s="2" t="s">
        <v>12</v>
      </c>
      <c r="C16" s="3">
        <v>2</v>
      </c>
      <c r="D16" s="3">
        <v>2</v>
      </c>
      <c r="E16" s="3">
        <v>8</v>
      </c>
      <c r="F16" s="3">
        <v>20</v>
      </c>
      <c r="G16" s="3">
        <v>0</v>
      </c>
      <c r="H16" s="3">
        <v>24</v>
      </c>
      <c r="I16" s="3">
        <v>20</v>
      </c>
      <c r="J16" s="3">
        <v>0</v>
      </c>
      <c r="K16" s="3">
        <v>6</v>
      </c>
      <c r="L16" s="3">
        <v>0</v>
      </c>
      <c r="M16" s="3">
        <v>0</v>
      </c>
      <c r="N16" s="3">
        <v>20</v>
      </c>
      <c r="O16" s="59">
        <v>6</v>
      </c>
      <c r="P16" s="25">
        <f>C16*$C$6+D16*$D$6+E16*$E$6+F16*$F$6+G16*$G$6+H16*$H$6+I16*$I$6+J16*$J$6+M16*$M$6+(N16*$N$6+O16*$O$6)*Z16/AC16</f>
        <v>12611.986731707319</v>
      </c>
      <c r="Q16" s="26">
        <f>$Q$8*P16</f>
        <v>1008.9589385365855</v>
      </c>
      <c r="R16" s="27">
        <f>SUM(P16:Q16)</f>
        <v>13620.945670243904</v>
      </c>
      <c r="S16" s="25">
        <f>K16*$K$6+(N16*$N$6+O16*$O$6)*AA16/AC16</f>
        <v>1150.829268292683</v>
      </c>
      <c r="T16" s="26">
        <f>S16*$Q$8</f>
        <v>92.06634146341464</v>
      </c>
      <c r="U16" s="27">
        <f>SUM(S16:T16)</f>
        <v>1242.8956097560977</v>
      </c>
      <c r="V16" s="25">
        <f>L16*$L$6+(N16*$N$6+O16*$O$6)*AB16/AC16</f>
        <v>0</v>
      </c>
      <c r="W16" s="26">
        <f>V16*$Q$8</f>
        <v>0</v>
      </c>
      <c r="X16" s="27">
        <f>SUM(V16:W16)</f>
        <v>0</v>
      </c>
      <c r="Y16" s="48">
        <f>X16+U16+R16</f>
        <v>14863.84128</v>
      </c>
      <c r="Z16" s="1">
        <f t="shared" si="1"/>
        <v>76</v>
      </c>
      <c r="AA16" s="9">
        <f t="shared" si="2"/>
        <v>6</v>
      </c>
      <c r="AB16" s="1">
        <f t="shared" si="3"/>
        <v>0</v>
      </c>
      <c r="AC16" s="1">
        <f t="shared" si="4"/>
        <v>82</v>
      </c>
      <c r="AD16" s="1"/>
    </row>
    <row r="17" spans="1:30" ht="12.75">
      <c r="A17" s="4">
        <v>150</v>
      </c>
      <c r="B17" s="2" t="s">
        <v>40</v>
      </c>
      <c r="C17" s="3">
        <v>2</v>
      </c>
      <c r="D17" s="3">
        <v>3</v>
      </c>
      <c r="E17" s="3">
        <v>2</v>
      </c>
      <c r="F17" s="3">
        <v>0</v>
      </c>
      <c r="G17" s="3">
        <v>0</v>
      </c>
      <c r="H17" s="3">
        <v>24</v>
      </c>
      <c r="I17" s="3">
        <v>0</v>
      </c>
      <c r="J17" s="3">
        <v>0</v>
      </c>
      <c r="K17" s="3">
        <v>4</v>
      </c>
      <c r="L17" s="3">
        <v>0</v>
      </c>
      <c r="M17" s="3">
        <v>0</v>
      </c>
      <c r="N17" s="3">
        <v>0</v>
      </c>
      <c r="O17" s="59">
        <v>0</v>
      </c>
      <c r="P17" s="25">
        <f>C17*$C$6+D17*$D$6+E17*$E$6+F17*$F$6+G17*$G$6+H17*$H$6+I17*$I$6+J17*$J$6+M17*$M$6+(N17*$N$6+O17*$O$6)*Z17/AC17</f>
        <v>3807.616</v>
      </c>
      <c r="Q17" s="26">
        <f>$Q$8*P17</f>
        <v>304.60928</v>
      </c>
      <c r="R17" s="27">
        <f>SUM(P17:Q17)</f>
        <v>4112.22528</v>
      </c>
      <c r="S17" s="25">
        <f>K17*$K$6+(N17*$N$6+O17*$O$6)*AA17/AC17</f>
        <v>678.4000000000001</v>
      </c>
      <c r="T17" s="26">
        <f>S17*$Q$8</f>
        <v>54.272000000000006</v>
      </c>
      <c r="U17" s="27">
        <f>SUM(S17:T17)</f>
        <v>732.6720000000001</v>
      </c>
      <c r="V17" s="25">
        <f>L17*$L$6+(N17*$N$6+O17*$O$6)*AB17/AC17</f>
        <v>0</v>
      </c>
      <c r="W17" s="26">
        <f>V17*$Q$8</f>
        <v>0</v>
      </c>
      <c r="X17" s="27">
        <f>SUM(V17:W17)</f>
        <v>0</v>
      </c>
      <c r="Y17" s="48">
        <f>X17+U17+R17</f>
        <v>4844.89728</v>
      </c>
      <c r="Z17" s="1">
        <f t="shared" si="1"/>
        <v>31</v>
      </c>
      <c r="AA17" s="9">
        <f t="shared" si="2"/>
        <v>4</v>
      </c>
      <c r="AB17" s="1">
        <f t="shared" si="3"/>
        <v>0</v>
      </c>
      <c r="AC17" s="1">
        <f t="shared" si="4"/>
        <v>35</v>
      </c>
      <c r="AD17" s="1"/>
    </row>
    <row r="18" spans="1:30" ht="12.75">
      <c r="A18" s="4"/>
      <c r="B18" s="60" t="s">
        <v>17</v>
      </c>
      <c r="C18" s="3">
        <f>SUM(C13:C17)</f>
        <v>10</v>
      </c>
      <c r="D18" s="3">
        <f aca="true" t="shared" si="5" ref="D18:Y18">SUM(D13:D17)</f>
        <v>11</v>
      </c>
      <c r="E18" s="3">
        <f t="shared" si="5"/>
        <v>36</v>
      </c>
      <c r="F18" s="3">
        <f t="shared" si="5"/>
        <v>49</v>
      </c>
      <c r="G18" s="3">
        <f t="shared" si="5"/>
        <v>0</v>
      </c>
      <c r="H18" s="3">
        <f t="shared" si="5"/>
        <v>104</v>
      </c>
      <c r="I18" s="3">
        <f t="shared" si="5"/>
        <v>64</v>
      </c>
      <c r="J18" s="3">
        <f t="shared" si="5"/>
        <v>8</v>
      </c>
      <c r="K18" s="3">
        <f t="shared" si="5"/>
        <v>42</v>
      </c>
      <c r="L18" s="3">
        <f t="shared" si="5"/>
        <v>12</v>
      </c>
      <c r="M18" s="3">
        <f t="shared" si="5"/>
        <v>0</v>
      </c>
      <c r="N18" s="3">
        <f t="shared" si="5"/>
        <v>45</v>
      </c>
      <c r="O18" s="59">
        <f t="shared" si="5"/>
        <v>28</v>
      </c>
      <c r="P18" s="25">
        <f t="shared" si="5"/>
        <v>44622.933241511244</v>
      </c>
      <c r="Q18" s="26">
        <f t="shared" si="5"/>
        <v>3569.8346593208994</v>
      </c>
      <c r="R18" s="27">
        <f t="shared" si="5"/>
        <v>48192.767900832136</v>
      </c>
      <c r="S18" s="25">
        <f t="shared" si="5"/>
        <v>7742.213290701648</v>
      </c>
      <c r="T18" s="26">
        <f t="shared" si="5"/>
        <v>619.3770632561319</v>
      </c>
      <c r="U18" s="27">
        <f t="shared" si="5"/>
        <v>8361.59035395778</v>
      </c>
      <c r="V18" s="25">
        <f t="shared" si="5"/>
        <v>2167.269467787115</v>
      </c>
      <c r="W18" s="26">
        <f t="shared" si="5"/>
        <v>173.38155742296922</v>
      </c>
      <c r="X18" s="27">
        <f t="shared" si="5"/>
        <v>2340.6510252100843</v>
      </c>
      <c r="Y18" s="49">
        <f t="shared" si="5"/>
        <v>58895.00928</v>
      </c>
      <c r="Z18" s="1"/>
      <c r="AA18" s="9"/>
      <c r="AB18" s="1"/>
      <c r="AC18" s="1"/>
      <c r="AD18" s="1"/>
    </row>
    <row r="19" spans="1:30" ht="12.75">
      <c r="A19" s="57">
        <v>200</v>
      </c>
      <c r="B19" s="61" t="s">
        <v>13</v>
      </c>
      <c r="C19" s="62"/>
      <c r="D19" s="62"/>
      <c r="E19" s="62"/>
      <c r="F19" s="63"/>
      <c r="G19" s="63"/>
      <c r="H19" s="63"/>
      <c r="I19" s="63"/>
      <c r="J19" s="63"/>
      <c r="K19" s="63"/>
      <c r="L19" s="63"/>
      <c r="M19" s="62"/>
      <c r="N19" s="62"/>
      <c r="O19" s="64"/>
      <c r="P19" s="28"/>
      <c r="Q19" s="29"/>
      <c r="R19" s="30"/>
      <c r="S19" s="28"/>
      <c r="T19" s="29"/>
      <c r="U19" s="30"/>
      <c r="V19" s="28"/>
      <c r="W19" s="29"/>
      <c r="X19" s="30"/>
      <c r="Y19" s="50"/>
      <c r="Z19" s="1"/>
      <c r="AA19" s="9"/>
      <c r="AB19" s="1"/>
      <c r="AC19" s="1"/>
      <c r="AD19" s="1"/>
    </row>
    <row r="20" spans="1:30" ht="12.75">
      <c r="A20" s="4">
        <v>210</v>
      </c>
      <c r="B20" s="2" t="s">
        <v>13</v>
      </c>
      <c r="C20" s="3">
        <v>2</v>
      </c>
      <c r="D20" s="3">
        <v>2</v>
      </c>
      <c r="E20" s="3">
        <v>16</v>
      </c>
      <c r="F20" s="3">
        <v>16</v>
      </c>
      <c r="G20" s="3">
        <v>0</v>
      </c>
      <c r="H20" s="3">
        <v>35</v>
      </c>
      <c r="I20" s="3">
        <v>40</v>
      </c>
      <c r="J20" s="3">
        <v>0</v>
      </c>
      <c r="K20" s="3">
        <v>32</v>
      </c>
      <c r="L20" s="3">
        <v>32</v>
      </c>
      <c r="M20" s="3">
        <v>40</v>
      </c>
      <c r="N20" s="3">
        <v>20</v>
      </c>
      <c r="O20" s="59">
        <v>8</v>
      </c>
      <c r="P20" s="25">
        <f>C20*$C$6+D20*$D$6+E20*$E$6+F20*$F$6+G20*$G$6+H20*$H$6+I20*$I$6+J20*$J$6+M20*$M$6+(N20*$N$6+O20*$O$6)*Z20/AC20</f>
        <v>19846.322604651163</v>
      </c>
      <c r="Q20" s="26">
        <f>$Q$8*P20</f>
        <v>1587.705808372093</v>
      </c>
      <c r="R20" s="27">
        <f>SUM(P20:Q20)</f>
        <v>21434.028413023254</v>
      </c>
      <c r="S20" s="25">
        <f>K20*$K$6+(N20*$N$6+O20*$O$6)*AA20/AC20</f>
        <v>5725.350697674419</v>
      </c>
      <c r="T20" s="26">
        <f>S20*$Q$8</f>
        <v>458.02805581395353</v>
      </c>
      <c r="U20" s="27">
        <f>SUM(S20:T20)</f>
        <v>6183.378753488373</v>
      </c>
      <c r="V20" s="25">
        <f>L20*$L$6+(N20*$N$6+O20*$O$6)*AB20/AC20</f>
        <v>5577.894697674419</v>
      </c>
      <c r="W20" s="26">
        <f>V20*$Q$8-109</f>
        <v>337.23157581395355</v>
      </c>
      <c r="X20" s="27">
        <f>SUM(V20:W20)</f>
        <v>5915.126273488373</v>
      </c>
      <c r="Y20" s="48">
        <f>X20+U20+R20</f>
        <v>33532.53344</v>
      </c>
      <c r="Z20" s="1">
        <f t="shared" si="1"/>
        <v>151</v>
      </c>
      <c r="AA20" s="9">
        <f t="shared" si="2"/>
        <v>32</v>
      </c>
      <c r="AB20" s="1">
        <f t="shared" si="3"/>
        <v>32</v>
      </c>
      <c r="AC20" s="1">
        <f t="shared" si="4"/>
        <v>215</v>
      </c>
      <c r="AD20" s="1"/>
    </row>
    <row r="21" spans="1:30" ht="12.75">
      <c r="A21" s="4">
        <v>220</v>
      </c>
      <c r="B21" s="2" t="s">
        <v>59</v>
      </c>
      <c r="C21" s="3">
        <v>2</v>
      </c>
      <c r="D21" s="3">
        <v>3</v>
      </c>
      <c r="E21" s="3">
        <v>12</v>
      </c>
      <c r="F21" s="3">
        <v>16</v>
      </c>
      <c r="G21" s="3">
        <v>12</v>
      </c>
      <c r="H21" s="3">
        <v>8</v>
      </c>
      <c r="I21" s="3">
        <v>8</v>
      </c>
      <c r="J21" s="3">
        <v>0</v>
      </c>
      <c r="K21" s="3">
        <v>12</v>
      </c>
      <c r="L21" s="3">
        <v>0</v>
      </c>
      <c r="M21" s="3">
        <v>0</v>
      </c>
      <c r="N21" s="3">
        <v>12</v>
      </c>
      <c r="O21" s="59">
        <v>8</v>
      </c>
      <c r="P21" s="25">
        <f>C21*$C$6+D21*$D$6+E21*$E$6+F21*$F$6+G21*$G$6+H21*$H$6+I21*$I$6+J21*$J$6+M21*$M$6+(N21*$N$6+O21*$O$6)*Z21/AC21</f>
        <v>10166.098410958904</v>
      </c>
      <c r="Q21" s="26">
        <f>$Q$8*P21</f>
        <v>813.2878728767124</v>
      </c>
      <c r="R21" s="27">
        <f>SUM(P21:Q21)</f>
        <v>10979.386283835616</v>
      </c>
      <c r="S21" s="25">
        <f>K21*$K$6+(N21*$N$6+O21*$O$6)*AA21/AC21</f>
        <v>2280.749589041096</v>
      </c>
      <c r="T21" s="26">
        <f>S21*$Q$8</f>
        <v>182.45996712328767</v>
      </c>
      <c r="U21" s="27">
        <f>SUM(S21:T21)</f>
        <v>2463.2095561643837</v>
      </c>
      <c r="V21" s="25">
        <f>L21*$L$6+(N21*$N$6+O21*$O$6)*AB21/AC21</f>
        <v>0</v>
      </c>
      <c r="W21" s="26">
        <f>V21*$Q$8</f>
        <v>0</v>
      </c>
      <c r="X21" s="27">
        <f>SUM(V21:W21)</f>
        <v>0</v>
      </c>
      <c r="Y21" s="48">
        <f>X21+U21+R21</f>
        <v>13442.59584</v>
      </c>
      <c r="Z21" s="1">
        <f t="shared" si="1"/>
        <v>61</v>
      </c>
      <c r="AA21" s="9">
        <f t="shared" si="2"/>
        <v>12</v>
      </c>
      <c r="AB21" s="1">
        <f t="shared" si="3"/>
        <v>0</v>
      </c>
      <c r="AC21" s="1">
        <f t="shared" si="4"/>
        <v>73</v>
      </c>
      <c r="AD21" s="1"/>
    </row>
    <row r="22" spans="1:30" ht="12.75">
      <c r="A22" s="4">
        <v>230</v>
      </c>
      <c r="B22" s="2" t="s">
        <v>19</v>
      </c>
      <c r="C22" s="3">
        <v>2</v>
      </c>
      <c r="D22" s="3">
        <v>3</v>
      </c>
      <c r="E22" s="3">
        <v>16</v>
      </c>
      <c r="F22" s="3">
        <v>72</v>
      </c>
      <c r="G22" s="3">
        <v>88</v>
      </c>
      <c r="H22" s="3">
        <v>66</v>
      </c>
      <c r="I22" s="3">
        <v>32</v>
      </c>
      <c r="J22" s="3">
        <v>0</v>
      </c>
      <c r="K22" s="3">
        <v>48</v>
      </c>
      <c r="L22" s="3">
        <v>0</v>
      </c>
      <c r="M22" s="3">
        <v>0</v>
      </c>
      <c r="N22" s="3">
        <v>16</v>
      </c>
      <c r="O22" s="59">
        <v>6</v>
      </c>
      <c r="P22" s="25">
        <f>C22*$C$6+D22*$D$6+E22*$E$6+F22*$F$6+G22*$G$6+H22*$H$6+I22*$I$6+J22*$J$6+M22*$M$6+(N22*$N$6+O22*$O$6)*Z22/AC22</f>
        <v>37574.78869724771</v>
      </c>
      <c r="Q22" s="26">
        <f>$Q$8*P22-10</f>
        <v>2995.983095779817</v>
      </c>
      <c r="R22" s="27">
        <f>SUM(P22:Q22)</f>
        <v>40570.77179302753</v>
      </c>
      <c r="S22" s="25">
        <f>K22*$K$6+(N22*$N$6+O22*$O$6)*AA22/AC22</f>
        <v>8370.683302752295</v>
      </c>
      <c r="T22" s="26">
        <f>S22*$Q$8</f>
        <v>669.6546642201837</v>
      </c>
      <c r="U22" s="27">
        <f>SUM(S22:T22)</f>
        <v>9040.337966972478</v>
      </c>
      <c r="V22" s="25">
        <f>L22*$L$6+(N22*$N$6+O22*$O$6)*AB22/AC22</f>
        <v>0</v>
      </c>
      <c r="W22" s="26">
        <f>V22*$Q$8</f>
        <v>0</v>
      </c>
      <c r="X22" s="27">
        <f>SUM(V22:W22)</f>
        <v>0</v>
      </c>
      <c r="Y22" s="48">
        <f>X22+U22+R22</f>
        <v>49611.10976000001</v>
      </c>
      <c r="Z22" s="1">
        <f t="shared" si="1"/>
        <v>279</v>
      </c>
      <c r="AA22" s="9">
        <f t="shared" si="2"/>
        <v>48</v>
      </c>
      <c r="AB22" s="1">
        <f t="shared" si="3"/>
        <v>0</v>
      </c>
      <c r="AC22" s="1">
        <f t="shared" si="4"/>
        <v>327</v>
      </c>
      <c r="AD22" s="1"/>
    </row>
    <row r="23" spans="1:30" ht="12.75">
      <c r="A23" s="4">
        <v>240</v>
      </c>
      <c r="B23" s="2" t="s">
        <v>14</v>
      </c>
      <c r="C23" s="3">
        <v>2</v>
      </c>
      <c r="D23" s="3">
        <v>3</v>
      </c>
      <c r="E23" s="3">
        <v>16</v>
      </c>
      <c r="F23" s="3">
        <v>8</v>
      </c>
      <c r="G23" s="3">
        <v>50</v>
      </c>
      <c r="H23" s="3">
        <v>56</v>
      </c>
      <c r="I23" s="3">
        <v>40</v>
      </c>
      <c r="J23" s="3">
        <v>0</v>
      </c>
      <c r="K23" s="3">
        <v>16</v>
      </c>
      <c r="L23" s="3">
        <v>40</v>
      </c>
      <c r="M23" s="3">
        <v>0</v>
      </c>
      <c r="N23" s="3">
        <v>24</v>
      </c>
      <c r="O23" s="59">
        <v>8</v>
      </c>
      <c r="P23" s="25">
        <f>C23*$C$6+D23*$D$6+E23*$E$6+F23*$F$6+G23*$G$6+H23*$H$6+I23*$I$6+J23*$J$6+M23*$M$6+(N23*$N$6+O23*$O$6)*Z23/AC23</f>
        <v>23047.697454545458</v>
      </c>
      <c r="Q23" s="26">
        <f>$Q$8*P23</f>
        <v>1843.8157963636368</v>
      </c>
      <c r="R23" s="27">
        <f>SUM(P23:Q23)</f>
        <v>24891.513250909094</v>
      </c>
      <c r="S23" s="25">
        <f>K23*$K$6+(N23*$N$6+O23*$O$6)*AA23/AC23</f>
        <v>2869.9927272727277</v>
      </c>
      <c r="T23" s="26">
        <f>S23*$Q$8</f>
        <v>229.59941818181824</v>
      </c>
      <c r="U23" s="27">
        <f>SUM(S23:T23)</f>
        <v>3099.592145454546</v>
      </c>
      <c r="V23" s="25">
        <f>L23*$L$6+(N23*$N$6+O23*$O$6)*AB23/AC23</f>
        <v>6990.6618181818185</v>
      </c>
      <c r="W23" s="26">
        <f>V23*$Q$8</f>
        <v>559.2529454545455</v>
      </c>
      <c r="X23" s="27">
        <f>SUM(V23:W23)</f>
        <v>7549.914763636364</v>
      </c>
      <c r="Y23" s="48">
        <f>X23+U23+R23</f>
        <v>35541.02016</v>
      </c>
      <c r="Z23" s="1">
        <f t="shared" si="1"/>
        <v>175</v>
      </c>
      <c r="AA23" s="9">
        <f t="shared" si="2"/>
        <v>16</v>
      </c>
      <c r="AB23" s="1">
        <f t="shared" si="3"/>
        <v>40</v>
      </c>
      <c r="AC23" s="1">
        <f t="shared" si="4"/>
        <v>231</v>
      </c>
      <c r="AD23" s="1"/>
    </row>
    <row r="24" spans="1:30" ht="12.75">
      <c r="A24" s="4">
        <v>250</v>
      </c>
      <c r="B24" s="2" t="s">
        <v>41</v>
      </c>
      <c r="C24" s="3">
        <v>2</v>
      </c>
      <c r="D24" s="3">
        <v>3</v>
      </c>
      <c r="E24" s="3">
        <v>16</v>
      </c>
      <c r="F24" s="3">
        <v>6</v>
      </c>
      <c r="G24" s="3">
        <v>40</v>
      </c>
      <c r="H24" s="3">
        <v>16</v>
      </c>
      <c r="I24" s="3">
        <v>0</v>
      </c>
      <c r="J24" s="3">
        <v>0</v>
      </c>
      <c r="K24" s="3">
        <v>8</v>
      </c>
      <c r="L24" s="3">
        <v>0</v>
      </c>
      <c r="M24" s="3">
        <v>0</v>
      </c>
      <c r="N24" s="3">
        <v>0</v>
      </c>
      <c r="O24" s="59">
        <v>0</v>
      </c>
      <c r="P24" s="25">
        <f>C24*$C$6+D24*$D$6+E24*$E$6+F24*$F$6+G24*$G$6+H24*$H$6+I24*$I$6+J24*$J$6+M24*$M$6+(N24*$N$6+O24*$O$6)*Z24/AC24</f>
        <v>10444.032</v>
      </c>
      <c r="Q24" s="26">
        <f>$Q$8*P24</f>
        <v>835.52256</v>
      </c>
      <c r="R24" s="27">
        <f>SUM(P24:Q24)</f>
        <v>11279.554559999999</v>
      </c>
      <c r="S24" s="25">
        <f>K24*$K$6+(N24*$N$6+O24*$O$6)*AA24/AC24</f>
        <v>1356.8000000000002</v>
      </c>
      <c r="T24" s="26">
        <f>S24*$Q$8</f>
        <v>108.54400000000001</v>
      </c>
      <c r="U24" s="27">
        <f>SUM(S24:T24)</f>
        <v>1465.3440000000003</v>
      </c>
      <c r="V24" s="25">
        <f>L24*$L$6+(N24*$N$6+O24*$O$6)*AB24/AC24</f>
        <v>0</v>
      </c>
      <c r="W24" s="26">
        <f>V24*$Q$8</f>
        <v>0</v>
      </c>
      <c r="X24" s="27">
        <f>SUM(V24:W24)</f>
        <v>0</v>
      </c>
      <c r="Y24" s="48">
        <f>X24+U24+R24</f>
        <v>12744.89856</v>
      </c>
      <c r="Z24" s="1">
        <f t="shared" si="1"/>
        <v>83</v>
      </c>
      <c r="AA24" s="9">
        <f t="shared" si="2"/>
        <v>8</v>
      </c>
      <c r="AB24" s="1">
        <f t="shared" si="3"/>
        <v>0</v>
      </c>
      <c r="AC24" s="1">
        <f t="shared" si="4"/>
        <v>91</v>
      </c>
      <c r="AD24" s="1"/>
    </row>
    <row r="25" spans="1:30" ht="12.75">
      <c r="A25" s="4"/>
      <c r="B25" s="60" t="s">
        <v>17</v>
      </c>
      <c r="C25" s="3">
        <f>SUM(C20:C24)</f>
        <v>10</v>
      </c>
      <c r="D25" s="3">
        <f aca="true" t="shared" si="6" ref="D25:Y25">SUM(D20:D24)</f>
        <v>14</v>
      </c>
      <c r="E25" s="3">
        <f t="shared" si="6"/>
        <v>76</v>
      </c>
      <c r="F25" s="3">
        <f t="shared" si="6"/>
        <v>118</v>
      </c>
      <c r="G25" s="3">
        <f t="shared" si="6"/>
        <v>190</v>
      </c>
      <c r="H25" s="3">
        <f t="shared" si="6"/>
        <v>181</v>
      </c>
      <c r="I25" s="3">
        <f t="shared" si="6"/>
        <v>120</v>
      </c>
      <c r="J25" s="3">
        <f t="shared" si="6"/>
        <v>0</v>
      </c>
      <c r="K25" s="3">
        <f t="shared" si="6"/>
        <v>116</v>
      </c>
      <c r="L25" s="3">
        <f t="shared" si="6"/>
        <v>72</v>
      </c>
      <c r="M25" s="3">
        <f t="shared" si="6"/>
        <v>40</v>
      </c>
      <c r="N25" s="3">
        <f t="shared" si="6"/>
        <v>72</v>
      </c>
      <c r="O25" s="59">
        <f t="shared" si="6"/>
        <v>30</v>
      </c>
      <c r="P25" s="25">
        <f t="shared" si="6"/>
        <v>101078.93916740324</v>
      </c>
      <c r="Q25" s="26">
        <f t="shared" si="6"/>
        <v>8076.31513339226</v>
      </c>
      <c r="R25" s="27">
        <f t="shared" si="6"/>
        <v>109155.2543007955</v>
      </c>
      <c r="S25" s="25">
        <f t="shared" si="6"/>
        <v>20603.57631674054</v>
      </c>
      <c r="T25" s="26">
        <f t="shared" si="6"/>
        <v>1648.2861053392432</v>
      </c>
      <c r="U25" s="27">
        <f t="shared" si="6"/>
        <v>22251.862422079783</v>
      </c>
      <c r="V25" s="25">
        <f t="shared" si="6"/>
        <v>12568.556515856239</v>
      </c>
      <c r="W25" s="26">
        <f t="shared" si="6"/>
        <v>896.4845212684991</v>
      </c>
      <c r="X25" s="27">
        <f t="shared" si="6"/>
        <v>13465.041037124738</v>
      </c>
      <c r="Y25" s="49">
        <f t="shared" si="6"/>
        <v>144872.15776000003</v>
      </c>
      <c r="Z25" s="1"/>
      <c r="AA25" s="9"/>
      <c r="AB25" s="1"/>
      <c r="AC25" s="1"/>
      <c r="AD25" s="1"/>
    </row>
    <row r="26" spans="1:30" ht="12.75">
      <c r="A26" s="57">
        <v>300</v>
      </c>
      <c r="B26" s="61" t="s">
        <v>15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5"/>
      <c r="P26" s="31"/>
      <c r="Q26" s="32"/>
      <c r="R26" s="33"/>
      <c r="S26" s="28"/>
      <c r="T26" s="29"/>
      <c r="U26" s="30"/>
      <c r="V26" s="28"/>
      <c r="W26" s="29"/>
      <c r="X26" s="30"/>
      <c r="Y26" s="50"/>
      <c r="Z26" s="1"/>
      <c r="AA26" s="9"/>
      <c r="AB26" s="1"/>
      <c r="AC26" s="1"/>
      <c r="AD26" s="1"/>
    </row>
    <row r="27" spans="1:30" ht="12.75">
      <c r="A27" s="4">
        <v>310</v>
      </c>
      <c r="B27" s="2" t="s">
        <v>16</v>
      </c>
      <c r="C27" s="3">
        <v>2</v>
      </c>
      <c r="D27" s="3">
        <v>4</v>
      </c>
      <c r="E27" s="3">
        <v>12</v>
      </c>
      <c r="F27" s="3">
        <v>90</v>
      </c>
      <c r="G27" s="3">
        <v>0</v>
      </c>
      <c r="H27" s="3">
        <v>40</v>
      </c>
      <c r="I27" s="3">
        <v>32</v>
      </c>
      <c r="J27" s="3">
        <v>0</v>
      </c>
      <c r="K27" s="3">
        <v>32</v>
      </c>
      <c r="L27" s="3">
        <v>16</v>
      </c>
      <c r="M27" s="3">
        <v>8</v>
      </c>
      <c r="N27" s="3">
        <v>96</v>
      </c>
      <c r="O27" s="59">
        <v>8</v>
      </c>
      <c r="P27" s="25">
        <f>C27*$C$6+D27*$D$6+E27*$E$6+F27*$F$6+G27*$G$6+H27*$H$6+I27*$I$6+J27*$J$6+M27*$M$6+(N27*$N$6+O27*$O$6)*Z27/AC27</f>
        <v>33666.787796610166</v>
      </c>
      <c r="Q27" s="26">
        <f>$Q$8*P27</f>
        <v>2693.3430237288135</v>
      </c>
      <c r="R27" s="27">
        <f>SUM(P27:Q27)</f>
        <v>36360.13082033898</v>
      </c>
      <c r="S27" s="25">
        <f>K27*$K$6+(N27*$N$6+O27*$O$6)*AA27/AC27</f>
        <v>6355.048135593221</v>
      </c>
      <c r="T27" s="26">
        <f>S27*$Q$8</f>
        <v>508.40385084745765</v>
      </c>
      <c r="U27" s="27">
        <f>SUM(S27:T27)</f>
        <v>6863.451986440678</v>
      </c>
      <c r="V27" s="25">
        <f>L27*$L$6+(N27*$N$6+O27*$O$6)*AB27/AC27</f>
        <v>3103.7960677966103</v>
      </c>
      <c r="W27" s="26">
        <f>V27*$Q$8</f>
        <v>248.30368542372884</v>
      </c>
      <c r="X27" s="27">
        <f>SUM(V27:W27)</f>
        <v>3352.099753220339</v>
      </c>
      <c r="Y27" s="48">
        <f>X27+U27+R27</f>
        <v>46575.682559999994</v>
      </c>
      <c r="Z27" s="1">
        <f t="shared" si="1"/>
        <v>188</v>
      </c>
      <c r="AA27" s="9">
        <f t="shared" si="2"/>
        <v>32</v>
      </c>
      <c r="AB27" s="1">
        <f t="shared" si="3"/>
        <v>16</v>
      </c>
      <c r="AC27" s="1">
        <f t="shared" si="4"/>
        <v>236</v>
      </c>
      <c r="AD27" s="1"/>
    </row>
    <row r="28" spans="1:30" ht="12.75">
      <c r="A28" s="4">
        <v>320</v>
      </c>
      <c r="B28" s="66" t="s">
        <v>20</v>
      </c>
      <c r="C28" s="3">
        <v>2</v>
      </c>
      <c r="D28" s="3">
        <v>3</v>
      </c>
      <c r="E28" s="3">
        <v>13</v>
      </c>
      <c r="F28" s="3">
        <v>24</v>
      </c>
      <c r="G28" s="3">
        <v>0</v>
      </c>
      <c r="H28" s="3">
        <v>20</v>
      </c>
      <c r="I28" s="3">
        <v>18</v>
      </c>
      <c r="J28" s="3">
        <v>0</v>
      </c>
      <c r="K28" s="3">
        <v>20</v>
      </c>
      <c r="L28" s="3">
        <v>8</v>
      </c>
      <c r="M28" s="3">
        <v>0</v>
      </c>
      <c r="N28" s="3">
        <v>24</v>
      </c>
      <c r="O28" s="59">
        <v>8</v>
      </c>
      <c r="P28" s="25">
        <f>C28*$C$6+D28*$D$6+E28*$E$6+F28*$F$6+G28*$G$6+H28*$H$6+I28*$I$6+J28*$J$6+M28*$M$6+(N28*$N$6+O28*$O$6)*Z28/AC28</f>
        <v>13723.157333333333</v>
      </c>
      <c r="Q28" s="26">
        <f>$Q$8*P28</f>
        <v>1097.8525866666666</v>
      </c>
      <c r="R28" s="27">
        <f>SUM(P28:Q28)</f>
        <v>14821.009919999999</v>
      </c>
      <c r="S28" s="25">
        <f>K28*$K$6+(N28*$N$6+O28*$O$6)*AA28/AC28</f>
        <v>3810.1333333333337</v>
      </c>
      <c r="T28" s="26">
        <f>S28*$Q$8</f>
        <v>304.8106666666667</v>
      </c>
      <c r="U28" s="27">
        <f>SUM(S28:T28)</f>
        <v>4114.944</v>
      </c>
      <c r="V28" s="25">
        <f>L28*$L$6+(N28*$N$6+O28*$O$6)*AB28/AC28</f>
        <v>1487.1893333333335</v>
      </c>
      <c r="W28" s="26">
        <f>V28*$Q$8</f>
        <v>118.97514666666667</v>
      </c>
      <c r="X28" s="27">
        <f>SUM(V28:W28)</f>
        <v>1606.1644800000001</v>
      </c>
      <c r="Y28" s="48">
        <f>X28+U28+R28</f>
        <v>20542.1184</v>
      </c>
      <c r="Z28" s="1">
        <f t="shared" si="1"/>
        <v>80</v>
      </c>
      <c r="AA28" s="9">
        <f t="shared" si="2"/>
        <v>20</v>
      </c>
      <c r="AB28" s="1">
        <f t="shared" si="3"/>
        <v>8</v>
      </c>
      <c r="AC28" s="1">
        <f t="shared" si="4"/>
        <v>108</v>
      </c>
      <c r="AD28" s="1"/>
    </row>
    <row r="29" spans="1:30" ht="12.75">
      <c r="A29" s="4"/>
      <c r="B29" s="67" t="s">
        <v>17</v>
      </c>
      <c r="C29" s="3">
        <f>SUM(C27:C28)</f>
        <v>4</v>
      </c>
      <c r="D29" s="3">
        <f aca="true" t="shared" si="7" ref="D29:Y29">SUM(D27:D28)</f>
        <v>7</v>
      </c>
      <c r="E29" s="3">
        <f t="shared" si="7"/>
        <v>25</v>
      </c>
      <c r="F29" s="3">
        <f t="shared" si="7"/>
        <v>114</v>
      </c>
      <c r="G29" s="3">
        <f t="shared" si="7"/>
        <v>0</v>
      </c>
      <c r="H29" s="3">
        <f t="shared" si="7"/>
        <v>60</v>
      </c>
      <c r="I29" s="3">
        <f t="shared" si="7"/>
        <v>50</v>
      </c>
      <c r="J29" s="3">
        <f t="shared" si="7"/>
        <v>0</v>
      </c>
      <c r="K29" s="3">
        <f t="shared" si="7"/>
        <v>52</v>
      </c>
      <c r="L29" s="3">
        <f t="shared" si="7"/>
        <v>24</v>
      </c>
      <c r="M29" s="3">
        <f t="shared" si="7"/>
        <v>8</v>
      </c>
      <c r="N29" s="3">
        <f t="shared" si="7"/>
        <v>120</v>
      </c>
      <c r="O29" s="59">
        <f t="shared" si="7"/>
        <v>16</v>
      </c>
      <c r="P29" s="25">
        <f t="shared" si="7"/>
        <v>47389.9451299435</v>
      </c>
      <c r="Q29" s="26">
        <f t="shared" si="7"/>
        <v>3791.19561039548</v>
      </c>
      <c r="R29" s="27">
        <f t="shared" si="7"/>
        <v>51181.140740338975</v>
      </c>
      <c r="S29" s="25">
        <f t="shared" si="7"/>
        <v>10165.181468926554</v>
      </c>
      <c r="T29" s="26">
        <f t="shared" si="7"/>
        <v>813.2145175141243</v>
      </c>
      <c r="U29" s="27">
        <f t="shared" si="7"/>
        <v>10978.395986440679</v>
      </c>
      <c r="V29" s="25">
        <f t="shared" si="7"/>
        <v>4590.985401129944</v>
      </c>
      <c r="W29" s="26">
        <f t="shared" si="7"/>
        <v>367.2788320903955</v>
      </c>
      <c r="X29" s="27">
        <f t="shared" si="7"/>
        <v>4958.2642332203395</v>
      </c>
      <c r="Y29" s="49">
        <f t="shared" si="7"/>
        <v>67117.80096</v>
      </c>
      <c r="Z29" s="1"/>
      <c r="AA29" s="9"/>
      <c r="AB29" s="1"/>
      <c r="AC29" s="1"/>
      <c r="AD29" s="1"/>
    </row>
    <row r="30" spans="1:30" ht="12.75">
      <c r="A30" s="4"/>
      <c r="B30" s="6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59"/>
      <c r="P30" s="25"/>
      <c r="Q30" s="26"/>
      <c r="R30" s="27"/>
      <c r="S30" s="25"/>
      <c r="T30" s="26"/>
      <c r="U30" s="27"/>
      <c r="V30" s="25"/>
      <c r="W30" s="26"/>
      <c r="X30" s="27"/>
      <c r="Y30" s="49"/>
      <c r="Z30" s="1"/>
      <c r="AA30" s="9"/>
      <c r="AB30" s="1"/>
      <c r="AC30" s="1"/>
      <c r="AD30" s="1"/>
    </row>
    <row r="31" spans="1:30" s="18" customFormat="1" ht="15.75">
      <c r="A31" s="68"/>
      <c r="B31" s="69" t="s">
        <v>94</v>
      </c>
      <c r="C31" s="70">
        <f>C29+C25+C18</f>
        <v>24</v>
      </c>
      <c r="D31" s="70">
        <f aca="true" t="shared" si="8" ref="D31:Y31">D29+D25+D18</f>
        <v>32</v>
      </c>
      <c r="E31" s="70">
        <f t="shared" si="8"/>
        <v>137</v>
      </c>
      <c r="F31" s="70">
        <f t="shared" si="8"/>
        <v>281</v>
      </c>
      <c r="G31" s="70">
        <f t="shared" si="8"/>
        <v>190</v>
      </c>
      <c r="H31" s="70">
        <f t="shared" si="8"/>
        <v>345</v>
      </c>
      <c r="I31" s="70">
        <f t="shared" si="8"/>
        <v>234</v>
      </c>
      <c r="J31" s="70">
        <f t="shared" si="8"/>
        <v>8</v>
      </c>
      <c r="K31" s="70">
        <f t="shared" si="8"/>
        <v>210</v>
      </c>
      <c r="L31" s="70">
        <f t="shared" si="8"/>
        <v>108</v>
      </c>
      <c r="M31" s="70">
        <f t="shared" si="8"/>
        <v>48</v>
      </c>
      <c r="N31" s="70">
        <f t="shared" si="8"/>
        <v>237</v>
      </c>
      <c r="O31" s="71">
        <f t="shared" si="8"/>
        <v>74</v>
      </c>
      <c r="P31" s="34">
        <f t="shared" si="8"/>
        <v>193091.81753885798</v>
      </c>
      <c r="Q31" s="35">
        <f t="shared" si="8"/>
        <v>15437.345403108638</v>
      </c>
      <c r="R31" s="36">
        <f t="shared" si="8"/>
        <v>208529.1629419666</v>
      </c>
      <c r="S31" s="34">
        <f t="shared" si="8"/>
        <v>38510.97107636874</v>
      </c>
      <c r="T31" s="35">
        <f t="shared" si="8"/>
        <v>3080.8776861094993</v>
      </c>
      <c r="U31" s="36">
        <f t="shared" si="8"/>
        <v>41591.848762478236</v>
      </c>
      <c r="V31" s="34">
        <f t="shared" si="8"/>
        <v>19326.811384773297</v>
      </c>
      <c r="W31" s="35">
        <f t="shared" si="8"/>
        <v>1437.144910781864</v>
      </c>
      <c r="X31" s="36">
        <f t="shared" si="8"/>
        <v>20763.956295555163</v>
      </c>
      <c r="Y31" s="51">
        <f t="shared" si="8"/>
        <v>270884.968</v>
      </c>
      <c r="Z31" s="16"/>
      <c r="AA31" s="17"/>
      <c r="AB31" s="16"/>
      <c r="AC31" s="16"/>
      <c r="AD31" s="16"/>
    </row>
    <row r="32" spans="1:30" s="18" customFormat="1" ht="15.75">
      <c r="A32" s="68"/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1"/>
      <c r="P32" s="34"/>
      <c r="Q32" s="35"/>
      <c r="R32" s="36"/>
      <c r="S32" s="34"/>
      <c r="T32" s="35"/>
      <c r="U32" s="36"/>
      <c r="V32" s="34"/>
      <c r="W32" s="35"/>
      <c r="X32" s="36"/>
      <c r="Y32" s="51"/>
      <c r="Z32" s="16"/>
      <c r="AA32" s="17"/>
      <c r="AB32" s="16"/>
      <c r="AC32" s="16"/>
      <c r="AD32" s="16"/>
    </row>
    <row r="33" spans="1:30" ht="20.25">
      <c r="A33" s="72"/>
      <c r="B33" s="101" t="s">
        <v>34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4"/>
      <c r="P33" s="31"/>
      <c r="Q33" s="32"/>
      <c r="R33" s="33"/>
      <c r="S33" s="31"/>
      <c r="T33" s="32"/>
      <c r="U33" s="33"/>
      <c r="V33" s="31"/>
      <c r="W33" s="32"/>
      <c r="X33" s="33"/>
      <c r="Y33" s="50"/>
      <c r="Z33" s="1"/>
      <c r="AA33" s="9"/>
      <c r="AB33" s="1"/>
      <c r="AC33" s="1"/>
      <c r="AD33" s="1"/>
    </row>
    <row r="34" spans="1:30" ht="12.75">
      <c r="A34" s="57">
        <v>400</v>
      </c>
      <c r="B34" s="61" t="s">
        <v>21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4"/>
      <c r="P34" s="28"/>
      <c r="Q34" s="29"/>
      <c r="R34" s="30"/>
      <c r="S34" s="28"/>
      <c r="T34" s="29"/>
      <c r="U34" s="30"/>
      <c r="V34" s="28"/>
      <c r="W34" s="29"/>
      <c r="X34" s="30"/>
      <c r="Y34" s="50"/>
      <c r="Z34" s="1"/>
      <c r="AA34" s="9"/>
      <c r="AB34" s="1"/>
      <c r="AC34" s="1"/>
      <c r="AD34" s="1"/>
    </row>
    <row r="35" spans="1:30" ht="12.75">
      <c r="A35" s="5">
        <v>410</v>
      </c>
      <c r="B35" s="6" t="s">
        <v>22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3"/>
      <c r="P35" s="25"/>
      <c r="Q35" s="26"/>
      <c r="R35" s="27"/>
      <c r="S35" s="25"/>
      <c r="T35" s="26"/>
      <c r="U35" s="27"/>
      <c r="V35" s="25"/>
      <c r="W35" s="26"/>
      <c r="X35" s="27"/>
      <c r="Y35" s="48"/>
      <c r="Z35" s="1">
        <f t="shared" si="1"/>
        <v>0</v>
      </c>
      <c r="AA35" s="9">
        <f t="shared" si="2"/>
        <v>0</v>
      </c>
      <c r="AB35" s="1">
        <f t="shared" si="3"/>
        <v>0</v>
      </c>
      <c r="AC35" s="1">
        <f t="shared" si="4"/>
        <v>0</v>
      </c>
      <c r="AD35" s="1"/>
    </row>
    <row r="36" spans="1:30" ht="12.75">
      <c r="A36" s="5">
        <v>420</v>
      </c>
      <c r="B36" s="6" t="s">
        <v>18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3"/>
      <c r="P36" s="25"/>
      <c r="Q36" s="26"/>
      <c r="R36" s="27"/>
      <c r="S36" s="25"/>
      <c r="T36" s="26"/>
      <c r="U36" s="27"/>
      <c r="V36" s="25"/>
      <c r="W36" s="26"/>
      <c r="X36" s="27"/>
      <c r="Y36" s="48"/>
      <c r="Z36" s="1">
        <f t="shared" si="1"/>
        <v>0</v>
      </c>
      <c r="AA36" s="9">
        <f t="shared" si="2"/>
        <v>0</v>
      </c>
      <c r="AB36" s="1">
        <f t="shared" si="3"/>
        <v>0</v>
      </c>
      <c r="AC36" s="1">
        <f t="shared" si="4"/>
        <v>0</v>
      </c>
      <c r="AD36" s="1"/>
    </row>
    <row r="37" spans="1:30" ht="12.75">
      <c r="A37" s="5">
        <v>430</v>
      </c>
      <c r="B37" s="6" t="s">
        <v>25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3"/>
      <c r="P37" s="25"/>
      <c r="Q37" s="26"/>
      <c r="R37" s="27"/>
      <c r="S37" s="25"/>
      <c r="T37" s="26"/>
      <c r="U37" s="27"/>
      <c r="V37" s="25"/>
      <c r="W37" s="26"/>
      <c r="X37" s="27"/>
      <c r="Y37" s="48"/>
      <c r="Z37" s="1">
        <f t="shared" si="1"/>
        <v>0</v>
      </c>
      <c r="AA37" s="9">
        <f t="shared" si="2"/>
        <v>0</v>
      </c>
      <c r="AB37" s="1">
        <f t="shared" si="3"/>
        <v>0</v>
      </c>
      <c r="AC37" s="1">
        <f t="shared" si="4"/>
        <v>0</v>
      </c>
      <c r="AD37" s="1"/>
    </row>
    <row r="38" spans="1:30" ht="12.75">
      <c r="A38" s="74">
        <v>440</v>
      </c>
      <c r="B38" s="66" t="s">
        <v>26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3"/>
      <c r="P38" s="25"/>
      <c r="Q38" s="26"/>
      <c r="R38" s="27"/>
      <c r="S38" s="25"/>
      <c r="T38" s="26"/>
      <c r="U38" s="27"/>
      <c r="V38" s="25"/>
      <c r="W38" s="26"/>
      <c r="X38" s="27"/>
      <c r="Y38" s="48"/>
      <c r="Z38" s="1">
        <f t="shared" si="1"/>
        <v>0</v>
      </c>
      <c r="AA38" s="9">
        <f t="shared" si="2"/>
        <v>0</v>
      </c>
      <c r="AB38" s="1">
        <f t="shared" si="3"/>
        <v>0</v>
      </c>
      <c r="AC38" s="1">
        <f t="shared" si="4"/>
        <v>0</v>
      </c>
      <c r="AD38" s="1"/>
    </row>
    <row r="39" spans="1:29" s="18" customFormat="1" ht="15.75">
      <c r="A39" s="75"/>
      <c r="B39" s="69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1"/>
      <c r="P39" s="34"/>
      <c r="Q39" s="35"/>
      <c r="R39" s="36"/>
      <c r="S39" s="34"/>
      <c r="T39" s="35"/>
      <c r="U39" s="36"/>
      <c r="V39" s="34"/>
      <c r="W39" s="35"/>
      <c r="X39" s="36"/>
      <c r="Y39" s="51"/>
      <c r="Z39" s="16"/>
      <c r="AA39" s="17"/>
      <c r="AB39" s="16"/>
      <c r="AC39" s="16"/>
    </row>
    <row r="40" spans="1:29" s="18" customFormat="1" ht="15.75">
      <c r="A40" s="75"/>
      <c r="B40" s="69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1"/>
      <c r="P40" s="34"/>
      <c r="Q40" s="35"/>
      <c r="R40" s="36"/>
      <c r="S40" s="34"/>
      <c r="T40" s="35"/>
      <c r="U40" s="36"/>
      <c r="V40" s="34"/>
      <c r="W40" s="35"/>
      <c r="X40" s="36"/>
      <c r="Y40" s="51"/>
      <c r="Z40" s="16"/>
      <c r="AA40" s="17"/>
      <c r="AB40" s="16"/>
      <c r="AC40" s="16"/>
    </row>
    <row r="41" spans="1:29" s="18" customFormat="1" ht="33.75" customHeight="1" thickBot="1">
      <c r="A41" s="75"/>
      <c r="B41" s="100" t="s">
        <v>56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7"/>
      <c r="P41" s="37"/>
      <c r="Q41" s="38"/>
      <c r="R41" s="39"/>
      <c r="S41" s="37"/>
      <c r="T41" s="38"/>
      <c r="U41" s="39"/>
      <c r="V41" s="37"/>
      <c r="W41" s="38"/>
      <c r="X41" s="39"/>
      <c r="Y41" s="52"/>
      <c r="Z41" s="16"/>
      <c r="AA41" s="17"/>
      <c r="AB41" s="16"/>
      <c r="AC41" s="16"/>
    </row>
    <row r="42" spans="1:29" s="18" customFormat="1" ht="15.75">
      <c r="A42" s="75"/>
      <c r="B42" s="69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1"/>
      <c r="P42" s="34"/>
      <c r="Q42" s="35"/>
      <c r="R42" s="36"/>
      <c r="S42" s="34"/>
      <c r="T42" s="35"/>
      <c r="U42" s="36"/>
      <c r="V42" s="34"/>
      <c r="W42" s="35"/>
      <c r="X42" s="36"/>
      <c r="Y42" s="51"/>
      <c r="Z42" s="16"/>
      <c r="AA42" s="17"/>
      <c r="AB42" s="16"/>
      <c r="AC42" s="16"/>
    </row>
    <row r="43" spans="1:29" s="88" customFormat="1" ht="15.75">
      <c r="A43" s="78">
        <v>500</v>
      </c>
      <c r="B43" s="79" t="s">
        <v>95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1"/>
      <c r="P43" s="82"/>
      <c r="Q43" s="83"/>
      <c r="R43" s="84"/>
      <c r="S43" s="82"/>
      <c r="T43" s="83"/>
      <c r="U43" s="84"/>
      <c r="V43" s="82"/>
      <c r="W43" s="83"/>
      <c r="X43" s="84"/>
      <c r="Y43" s="85"/>
      <c r="Z43" s="86"/>
      <c r="AA43" s="87"/>
      <c r="AB43" s="86"/>
      <c r="AC43" s="86"/>
    </row>
    <row r="44" spans="1:30" s="115" customFormat="1" ht="12.75">
      <c r="A44" s="109">
        <v>510</v>
      </c>
      <c r="B44" s="110" t="s">
        <v>84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2"/>
      <c r="P44" s="97"/>
      <c r="Q44" s="98"/>
      <c r="R44" s="99"/>
      <c r="S44" s="97"/>
      <c r="T44" s="98"/>
      <c r="U44" s="99"/>
      <c r="V44" s="97"/>
      <c r="W44" s="98"/>
      <c r="X44" s="99"/>
      <c r="Y44" s="48">
        <v>10800</v>
      </c>
      <c r="Z44" s="113"/>
      <c r="AB44" s="114"/>
      <c r="AC44" s="114"/>
      <c r="AD44" s="113">
        <f>Y44/$Y$52</f>
        <v>0.09050840283498168</v>
      </c>
    </row>
    <row r="45" spans="1:30" s="115" customFormat="1" ht="12.75">
      <c r="A45" s="109">
        <v>520</v>
      </c>
      <c r="B45" s="110" t="s">
        <v>85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2"/>
      <c r="P45" s="97"/>
      <c r="Q45" s="98"/>
      <c r="R45" s="99"/>
      <c r="S45" s="97"/>
      <c r="T45" s="98"/>
      <c r="U45" s="99"/>
      <c r="V45" s="97"/>
      <c r="W45" s="98"/>
      <c r="X45" s="99"/>
      <c r="Y45" s="48">
        <v>7560</v>
      </c>
      <c r="Z45" s="113"/>
      <c r="AB45" s="114"/>
      <c r="AC45" s="114"/>
      <c r="AD45" s="113">
        <f>Y45/$Y$52</f>
        <v>0.06335588198448718</v>
      </c>
    </row>
    <row r="46" spans="1:29" s="115" customFormat="1" ht="12.75">
      <c r="A46" s="109">
        <v>530</v>
      </c>
      <c r="B46" s="110" t="s">
        <v>60</v>
      </c>
      <c r="C46" s="111"/>
      <c r="D46" s="111"/>
      <c r="E46" s="111"/>
      <c r="F46" s="111">
        <v>32</v>
      </c>
      <c r="G46" s="111"/>
      <c r="H46" s="111">
        <v>32</v>
      </c>
      <c r="I46" s="111"/>
      <c r="J46" s="111"/>
      <c r="K46" s="111"/>
      <c r="L46" s="111"/>
      <c r="M46" s="111"/>
      <c r="N46" s="111">
        <v>32</v>
      </c>
      <c r="O46" s="112"/>
      <c r="P46" s="97">
        <f>C46*$C$6+D46*$D$6+E46*$E$6+F46*$F$6+G46*$G$6+H46*$H$6+I46*$I$6+J46*$J$6+M46*$M$6+(N46*$N$6+O46*$O$6)*Z46/AC46</f>
        <v>11319.296</v>
      </c>
      <c r="Q46" s="98">
        <f>$Q$8*P46</f>
        <v>905.54368</v>
      </c>
      <c r="R46" s="99">
        <f>SUM(P46:Q46)</f>
        <v>12224.839680000001</v>
      </c>
      <c r="S46" s="97">
        <f>K46*$K$6+(N46*$N$6+O46*$O$6)*AA46/AC46</f>
        <v>0</v>
      </c>
      <c r="T46" s="98">
        <f>S46*$Q$8</f>
        <v>0</v>
      </c>
      <c r="U46" s="99">
        <f>SUM(S46:T46)</f>
        <v>0</v>
      </c>
      <c r="V46" s="97">
        <f>L46*$L$6+(N46*$N$6+O46*$O$6)*AB46/AC46</f>
        <v>0</v>
      </c>
      <c r="W46" s="98">
        <f>V46*$Q$8</f>
        <v>0</v>
      </c>
      <c r="X46" s="99">
        <f>SUM(V46:W46)</f>
        <v>0</v>
      </c>
      <c r="Y46" s="48">
        <f>X46+U46+R46</f>
        <v>12224.839680000001</v>
      </c>
      <c r="Z46" s="116">
        <f>SUM(C46:J46)+M46</f>
        <v>64</v>
      </c>
      <c r="AA46" s="117">
        <f aca="true" t="shared" si="9" ref="AA46:AB48">SUM(K46)</f>
        <v>0</v>
      </c>
      <c r="AB46" s="116">
        <f t="shared" si="9"/>
        <v>0</v>
      </c>
      <c r="AC46" s="116">
        <f>SUM(C46:M46)</f>
        <v>64</v>
      </c>
    </row>
    <row r="47" spans="1:29" s="115" customFormat="1" ht="12.75">
      <c r="A47" s="109">
        <v>540</v>
      </c>
      <c r="B47" s="110" t="s">
        <v>89</v>
      </c>
      <c r="C47" s="111">
        <v>6</v>
      </c>
      <c r="D47" s="111">
        <v>36</v>
      </c>
      <c r="E47" s="111">
        <v>8</v>
      </c>
      <c r="F47" s="111">
        <v>12</v>
      </c>
      <c r="G47" s="111"/>
      <c r="H47" s="111">
        <v>8</v>
      </c>
      <c r="I47" s="111"/>
      <c r="J47" s="111"/>
      <c r="K47" s="111">
        <v>16</v>
      </c>
      <c r="L47" s="111">
        <v>10</v>
      </c>
      <c r="M47" s="111">
        <v>12</v>
      </c>
      <c r="N47" s="111"/>
      <c r="O47" s="112"/>
      <c r="P47" s="97">
        <f>C47*$C$6+D47*$D$6+E47*$E$6+F47*$F$6+G47*$G$6+H47*$H$6+I47*$I$6+J47*$J$6+M47*$M$6+(N47*$N$6+O47*$O$6)*Z47/AC47</f>
        <v>11029.12</v>
      </c>
      <c r="Q47" s="98">
        <f>$Q$8*P47+1500</f>
        <v>2382.3296</v>
      </c>
      <c r="R47" s="99">
        <f>SUM(P47:Q47)</f>
        <v>13411.4496</v>
      </c>
      <c r="S47" s="97">
        <f>K47*$K$6+(N47*$N$6+O47*$O$6)*AA47/AC47</f>
        <v>2713.6000000000004</v>
      </c>
      <c r="T47" s="98">
        <f>S47*$Q$8</f>
        <v>217.08800000000002</v>
      </c>
      <c r="U47" s="99">
        <f>SUM(S47:T47)</f>
        <v>2930.6880000000006</v>
      </c>
      <c r="V47" s="97">
        <f>L47*$L$6+(N47*$N$6+O47*$O$6)*AB47/AC47</f>
        <v>1649.92</v>
      </c>
      <c r="W47" s="98">
        <f>V47*$Q$8</f>
        <v>131.99360000000001</v>
      </c>
      <c r="X47" s="99">
        <f>SUM(V47:W47)</f>
        <v>1781.9136</v>
      </c>
      <c r="Y47" s="48">
        <f>X47+U47+R47</f>
        <v>18124.0512</v>
      </c>
      <c r="Z47" s="116">
        <f>SUM(C47:J47)+M47</f>
        <v>82</v>
      </c>
      <c r="AA47" s="117">
        <f t="shared" si="9"/>
        <v>16</v>
      </c>
      <c r="AB47" s="116">
        <f t="shared" si="9"/>
        <v>10</v>
      </c>
      <c r="AC47" s="116">
        <f>SUM(C47:M47)</f>
        <v>108</v>
      </c>
    </row>
    <row r="48" spans="1:29" s="115" customFormat="1" ht="12.75">
      <c r="A48" s="131">
        <v>550</v>
      </c>
      <c r="B48" s="132" t="s">
        <v>90</v>
      </c>
      <c r="C48" s="133">
        <v>2</v>
      </c>
      <c r="D48" s="133">
        <v>4</v>
      </c>
      <c r="E48" s="133">
        <v>24</v>
      </c>
      <c r="F48" s="133">
        <v>32</v>
      </c>
      <c r="G48" s="133"/>
      <c r="H48" s="133">
        <v>32</v>
      </c>
      <c r="I48" s="133"/>
      <c r="J48" s="133"/>
      <c r="K48" s="133">
        <v>24</v>
      </c>
      <c r="L48" s="133"/>
      <c r="M48" s="133"/>
      <c r="N48" s="133">
        <v>16</v>
      </c>
      <c r="O48" s="134">
        <v>8</v>
      </c>
      <c r="P48" s="97">
        <v>16631.68</v>
      </c>
      <c r="Q48" s="136">
        <f>P48*0.08</f>
        <v>1330.5344</v>
      </c>
      <c r="R48" s="99">
        <f>SUM(P48:Q48)</f>
        <v>17962.2144</v>
      </c>
      <c r="S48" s="135">
        <f>K48*K6</f>
        <v>4070.4000000000005</v>
      </c>
      <c r="T48" s="98">
        <f>S48*$Q$8</f>
        <v>325.63200000000006</v>
      </c>
      <c r="U48" s="99">
        <f>SUM(S48:T48)</f>
        <v>4396.032000000001</v>
      </c>
      <c r="V48" s="97"/>
      <c r="W48" s="136"/>
      <c r="X48" s="137"/>
      <c r="Y48" s="48">
        <f>X48+U48+R48</f>
        <v>22358.246400000004</v>
      </c>
      <c r="Z48" s="116">
        <f>SUM(C48:J48)+M48</f>
        <v>94</v>
      </c>
      <c r="AA48" s="117">
        <f t="shared" si="9"/>
        <v>24</v>
      </c>
      <c r="AB48" s="116">
        <f t="shared" si="9"/>
        <v>0</v>
      </c>
      <c r="AC48" s="116">
        <f>SUM(C48:M48)</f>
        <v>118</v>
      </c>
    </row>
    <row r="49" spans="1:29" s="115" customFormat="1" ht="12.75">
      <c r="A49" s="131">
        <v>560</v>
      </c>
      <c r="B49" s="132" t="s">
        <v>86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4"/>
      <c r="P49" s="135"/>
      <c r="Q49" s="136"/>
      <c r="R49" s="137"/>
      <c r="S49" s="135">
        <v>33110</v>
      </c>
      <c r="T49" s="98">
        <f>S49*$Q$8</f>
        <v>2648.8</v>
      </c>
      <c r="U49" s="99">
        <f>SUM(S49:T49)</f>
        <v>35758.8</v>
      </c>
      <c r="V49" s="97"/>
      <c r="W49" s="136"/>
      <c r="X49" s="137"/>
      <c r="Y49" s="48">
        <f>X49+U49+R49</f>
        <v>35758.8</v>
      </c>
      <c r="Z49" s="116"/>
      <c r="AA49" s="117"/>
      <c r="AB49" s="116"/>
      <c r="AC49" s="116"/>
    </row>
    <row r="50" spans="1:29" s="115" customFormat="1" ht="12.75">
      <c r="A50" s="131">
        <v>570</v>
      </c>
      <c r="B50" s="132" t="s">
        <v>88</v>
      </c>
      <c r="C50" s="133"/>
      <c r="D50" s="133"/>
      <c r="E50" s="133"/>
      <c r="F50" s="133"/>
      <c r="G50" s="133"/>
      <c r="H50" s="133"/>
      <c r="I50" s="153">
        <v>12500</v>
      </c>
      <c r="J50" s="133"/>
      <c r="K50" s="133"/>
      <c r="L50" s="133"/>
      <c r="M50" s="133"/>
      <c r="N50" s="133"/>
      <c r="O50" s="134"/>
      <c r="P50" s="135"/>
      <c r="Q50" s="136"/>
      <c r="R50" s="137"/>
      <c r="S50" s="135"/>
      <c r="T50" s="136"/>
      <c r="U50" s="137"/>
      <c r="V50" s="135"/>
      <c r="W50" s="136"/>
      <c r="X50" s="137"/>
      <c r="Y50" s="138">
        <v>12500</v>
      </c>
      <c r="Z50" s="116"/>
      <c r="AA50" s="117"/>
      <c r="AB50" s="116"/>
      <c r="AC50" s="116"/>
    </row>
    <row r="51" spans="1:29" s="151" customFormat="1" ht="15.75">
      <c r="A51" s="75"/>
      <c r="B51" s="69" t="s">
        <v>17</v>
      </c>
      <c r="C51" s="70">
        <f aca="true" t="shared" si="10" ref="C51:N51">SUM(C44:C49)</f>
        <v>8</v>
      </c>
      <c r="D51" s="70">
        <f t="shared" si="10"/>
        <v>40</v>
      </c>
      <c r="E51" s="70">
        <f t="shared" si="10"/>
        <v>32</v>
      </c>
      <c r="F51" s="70">
        <f t="shared" si="10"/>
        <v>76</v>
      </c>
      <c r="G51" s="70">
        <f t="shared" si="10"/>
        <v>0</v>
      </c>
      <c r="H51" s="70">
        <f t="shared" si="10"/>
        <v>72</v>
      </c>
      <c r="I51" s="70">
        <f t="shared" si="10"/>
        <v>0</v>
      </c>
      <c r="J51" s="70">
        <f t="shared" si="10"/>
        <v>0</v>
      </c>
      <c r="K51" s="70">
        <f t="shared" si="10"/>
        <v>40</v>
      </c>
      <c r="L51" s="70">
        <f t="shared" si="10"/>
        <v>10</v>
      </c>
      <c r="M51" s="70">
        <f t="shared" si="10"/>
        <v>12</v>
      </c>
      <c r="N51" s="70">
        <f t="shared" si="10"/>
        <v>48</v>
      </c>
      <c r="O51" s="147">
        <f>SUM(O44:O49)</f>
        <v>8</v>
      </c>
      <c r="P51" s="34">
        <f aca="true" t="shared" si="11" ref="P51:W51">SUM(P44:P49)</f>
        <v>38980.096000000005</v>
      </c>
      <c r="Q51" s="35">
        <f t="shared" si="11"/>
        <v>4618.40768</v>
      </c>
      <c r="R51" s="148">
        <f t="shared" si="11"/>
        <v>43598.50368</v>
      </c>
      <c r="S51" s="34">
        <f t="shared" si="11"/>
        <v>39894</v>
      </c>
      <c r="T51" s="35">
        <f t="shared" si="11"/>
        <v>3191.5200000000004</v>
      </c>
      <c r="U51" s="148">
        <f t="shared" si="11"/>
        <v>43085.520000000004</v>
      </c>
      <c r="V51" s="34">
        <f t="shared" si="11"/>
        <v>1649.92</v>
      </c>
      <c r="W51" s="35">
        <f t="shared" si="11"/>
        <v>131.99360000000001</v>
      </c>
      <c r="X51" s="148">
        <f>SUM(X44:X49)</f>
        <v>1781.9136</v>
      </c>
      <c r="Y51" s="51">
        <f>SUM(Y44:Y50)</f>
        <v>119325.93728000001</v>
      </c>
      <c r="Z51" s="149"/>
      <c r="AA51" s="150"/>
      <c r="AB51" s="149"/>
      <c r="AC51" s="149"/>
    </row>
    <row r="52" spans="1:29" s="13" customFormat="1" ht="18.75" hidden="1" thickBot="1">
      <c r="A52" s="141"/>
      <c r="B52" s="142" t="s">
        <v>87</v>
      </c>
      <c r="C52" s="143">
        <f>C51+C41</f>
        <v>8</v>
      </c>
      <c r="D52" s="143">
        <f aca="true" t="shared" si="12" ref="D52:Y52">D51+D41</f>
        <v>40</v>
      </c>
      <c r="E52" s="143">
        <f t="shared" si="12"/>
        <v>32</v>
      </c>
      <c r="F52" s="143">
        <f t="shared" si="12"/>
        <v>76</v>
      </c>
      <c r="G52" s="143">
        <f t="shared" si="12"/>
        <v>0</v>
      </c>
      <c r="H52" s="143">
        <f t="shared" si="12"/>
        <v>72</v>
      </c>
      <c r="I52" s="143">
        <f t="shared" si="12"/>
        <v>0</v>
      </c>
      <c r="J52" s="143">
        <f t="shared" si="12"/>
        <v>0</v>
      </c>
      <c r="K52" s="143">
        <f t="shared" si="12"/>
        <v>40</v>
      </c>
      <c r="L52" s="143">
        <f t="shared" si="12"/>
        <v>10</v>
      </c>
      <c r="M52" s="143">
        <f t="shared" si="12"/>
        <v>12</v>
      </c>
      <c r="N52" s="143">
        <f t="shared" si="12"/>
        <v>48</v>
      </c>
      <c r="O52" s="143">
        <f t="shared" si="12"/>
        <v>8</v>
      </c>
      <c r="P52" s="144">
        <f t="shared" si="12"/>
        <v>38980.096000000005</v>
      </c>
      <c r="Q52" s="145">
        <f t="shared" si="12"/>
        <v>4618.40768</v>
      </c>
      <c r="R52" s="145">
        <f t="shared" si="12"/>
        <v>43598.50368</v>
      </c>
      <c r="S52" s="144">
        <f t="shared" si="12"/>
        <v>39894</v>
      </c>
      <c r="T52" s="145">
        <f t="shared" si="12"/>
        <v>3191.5200000000004</v>
      </c>
      <c r="U52" s="145">
        <f t="shared" si="12"/>
        <v>43085.520000000004</v>
      </c>
      <c r="V52" s="144">
        <f t="shared" si="12"/>
        <v>1649.92</v>
      </c>
      <c r="W52" s="145">
        <f t="shared" si="12"/>
        <v>131.99360000000001</v>
      </c>
      <c r="X52" s="145">
        <f t="shared" si="12"/>
        <v>1781.9136</v>
      </c>
      <c r="Y52" s="146">
        <f t="shared" si="12"/>
        <v>119325.93728000001</v>
      </c>
      <c r="Z52" s="14"/>
      <c r="AA52" s="15"/>
      <c r="AB52" s="14"/>
      <c r="AC52" s="14"/>
    </row>
    <row r="53" spans="2:25" ht="54" customHeight="1">
      <c r="B53" s="100" t="s">
        <v>96</v>
      </c>
      <c r="C53" s="139"/>
      <c r="D53" s="139"/>
      <c r="E53" s="139"/>
      <c r="F53" s="139"/>
      <c r="G53" s="139"/>
      <c r="H53" s="139"/>
      <c r="M53" s="139"/>
      <c r="N53" s="139"/>
      <c r="O53" s="139"/>
      <c r="P53" s="139"/>
      <c r="Q53" s="122"/>
      <c r="Y53" s="152">
        <f>Y31+Y51</f>
        <v>390210.90528</v>
      </c>
    </row>
    <row r="54" spans="2:25" ht="54" customHeight="1">
      <c r="B54" s="100"/>
      <c r="C54" s="139"/>
      <c r="D54" s="139"/>
      <c r="E54" s="139"/>
      <c r="F54" s="139"/>
      <c r="G54" s="139"/>
      <c r="H54" s="139"/>
      <c r="M54" s="139"/>
      <c r="N54" s="139"/>
      <c r="O54" s="139"/>
      <c r="P54" s="139"/>
      <c r="Q54" s="122"/>
      <c r="Y54" s="152"/>
    </row>
    <row r="55" spans="1:25" ht="20.25">
      <c r="A55" s="57"/>
      <c r="B55" s="101" t="s">
        <v>61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4"/>
      <c r="P55" s="22"/>
      <c r="Q55" s="23"/>
      <c r="R55" s="24"/>
      <c r="S55" s="40"/>
      <c r="T55" s="41"/>
      <c r="U55" s="42"/>
      <c r="V55" s="43"/>
      <c r="W55" s="44"/>
      <c r="X55" s="42"/>
      <c r="Y55" s="47"/>
    </row>
    <row r="56" spans="1:29" ht="12.75">
      <c r="A56" s="57">
        <v>600</v>
      </c>
      <c r="B56" s="58" t="s">
        <v>9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4"/>
      <c r="P56" s="22"/>
      <c r="Q56" s="23"/>
      <c r="R56" s="24"/>
      <c r="S56" s="40"/>
      <c r="T56" s="41"/>
      <c r="U56" s="42"/>
      <c r="V56" s="43"/>
      <c r="W56" s="44"/>
      <c r="X56" s="42"/>
      <c r="Y56" s="47"/>
      <c r="Z56" s="10" t="s">
        <v>29</v>
      </c>
      <c r="AA56" s="10" t="s">
        <v>30</v>
      </c>
      <c r="AB56" s="10" t="s">
        <v>31</v>
      </c>
      <c r="AC56" s="10" t="s">
        <v>55</v>
      </c>
    </row>
    <row r="57" spans="1:29" ht="12.75">
      <c r="A57" s="4">
        <v>610</v>
      </c>
      <c r="B57" s="2" t="s">
        <v>8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59"/>
      <c r="P57" s="25"/>
      <c r="Q57" s="26"/>
      <c r="R57" s="27"/>
      <c r="S57" s="25"/>
      <c r="T57" s="26"/>
      <c r="U57" s="27"/>
      <c r="V57" s="25"/>
      <c r="W57" s="26"/>
      <c r="X57" s="27"/>
      <c r="Y57" s="48"/>
      <c r="Z57" s="1">
        <f>SUM(C57:J57)+M57</f>
        <v>0</v>
      </c>
      <c r="AA57" s="9">
        <f aca="true" t="shared" si="13" ref="AA57:AB60">SUM(K57)</f>
        <v>0</v>
      </c>
      <c r="AB57" s="1">
        <f t="shared" si="13"/>
        <v>0</v>
      </c>
      <c r="AC57" s="1">
        <f>SUM(C57:M57)</f>
        <v>0</v>
      </c>
    </row>
    <row r="58" spans="1:29" ht="12.75">
      <c r="A58" s="4">
        <v>620</v>
      </c>
      <c r="B58" s="2" t="s">
        <v>10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59"/>
      <c r="P58" s="25"/>
      <c r="Q58" s="26"/>
      <c r="R58" s="27"/>
      <c r="S58" s="25"/>
      <c r="T58" s="26"/>
      <c r="U58" s="27"/>
      <c r="V58" s="25"/>
      <c r="W58" s="26"/>
      <c r="X58" s="27"/>
      <c r="Y58" s="48"/>
      <c r="Z58" s="1">
        <f>SUM(C58:J58)+M58</f>
        <v>0</v>
      </c>
      <c r="AA58" s="9">
        <f t="shared" si="13"/>
        <v>0</v>
      </c>
      <c r="AB58" s="1">
        <f t="shared" si="13"/>
        <v>0</v>
      </c>
      <c r="AC58" s="1">
        <f>SUM(C58:M58)</f>
        <v>0</v>
      </c>
    </row>
    <row r="59" spans="1:29" ht="12.75">
      <c r="A59" s="4">
        <v>630</v>
      </c>
      <c r="B59" s="2" t="s">
        <v>11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59"/>
      <c r="P59" s="25"/>
      <c r="Q59" s="26"/>
      <c r="R59" s="27"/>
      <c r="S59" s="25"/>
      <c r="T59" s="26"/>
      <c r="U59" s="27"/>
      <c r="V59" s="25"/>
      <c r="W59" s="26"/>
      <c r="X59" s="27"/>
      <c r="Y59" s="48"/>
      <c r="Z59" s="1">
        <f>SUM(C59:J59)+M59</f>
        <v>0</v>
      </c>
      <c r="AA59" s="9">
        <f t="shared" si="13"/>
        <v>0</v>
      </c>
      <c r="AB59" s="1">
        <f t="shared" si="13"/>
        <v>0</v>
      </c>
      <c r="AC59" s="1">
        <f>SUM(C59:M59)</f>
        <v>0</v>
      </c>
    </row>
    <row r="60" spans="1:29" ht="13.5" thickBot="1">
      <c r="A60" s="4">
        <v>640</v>
      </c>
      <c r="B60" s="2" t="s">
        <v>12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59"/>
      <c r="P60" s="25"/>
      <c r="Q60" s="26"/>
      <c r="R60" s="27"/>
      <c r="S60" s="25"/>
      <c r="T60" s="26"/>
      <c r="U60" s="27"/>
      <c r="V60" s="25"/>
      <c r="W60" s="26"/>
      <c r="X60" s="27"/>
      <c r="Y60" s="48"/>
      <c r="Z60" s="1">
        <f>SUM(C60:J60)+M60</f>
        <v>0</v>
      </c>
      <c r="AA60" s="9">
        <f t="shared" si="13"/>
        <v>0</v>
      </c>
      <c r="AB60" s="1">
        <f t="shared" si="13"/>
        <v>0</v>
      </c>
      <c r="AC60" s="1">
        <f>SUM(C60:M60)</f>
        <v>0</v>
      </c>
    </row>
    <row r="61" spans="1:29" ht="12.75">
      <c r="A61" s="4"/>
      <c r="B61" s="60" t="s">
        <v>17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59"/>
      <c r="P61" s="25"/>
      <c r="Q61" s="26"/>
      <c r="R61" s="27"/>
      <c r="S61" s="25"/>
      <c r="T61" s="26"/>
      <c r="U61" s="27"/>
      <c r="V61" s="25"/>
      <c r="W61" s="26"/>
      <c r="X61" s="27"/>
      <c r="Y61" s="49"/>
      <c r="Z61" s="1"/>
      <c r="AA61" s="9"/>
      <c r="AB61" s="1"/>
      <c r="AC61" s="1"/>
    </row>
    <row r="62" spans="1:29" ht="12.75">
      <c r="A62" s="57">
        <v>700</v>
      </c>
      <c r="B62" s="61" t="s">
        <v>13</v>
      </c>
      <c r="C62" s="62"/>
      <c r="D62" s="62"/>
      <c r="E62" s="62"/>
      <c r="F62" s="63"/>
      <c r="G62" s="63"/>
      <c r="H62" s="63"/>
      <c r="I62" s="63"/>
      <c r="J62" s="63"/>
      <c r="K62" s="63"/>
      <c r="L62" s="63"/>
      <c r="M62" s="62"/>
      <c r="N62" s="62"/>
      <c r="O62" s="64"/>
      <c r="P62" s="28"/>
      <c r="Q62" s="29"/>
      <c r="R62" s="30"/>
      <c r="S62" s="28"/>
      <c r="T62" s="29"/>
      <c r="U62" s="30"/>
      <c r="V62" s="28"/>
      <c r="W62" s="29"/>
      <c r="X62" s="30"/>
      <c r="Y62" s="50"/>
      <c r="Z62" s="1"/>
      <c r="AA62" s="9"/>
      <c r="AB62" s="1"/>
      <c r="AC62" s="1"/>
    </row>
    <row r="63" spans="1:29" ht="12.75">
      <c r="A63" s="4">
        <v>710</v>
      </c>
      <c r="B63" s="2" t="s">
        <v>13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59"/>
      <c r="P63" s="25"/>
      <c r="Q63" s="26"/>
      <c r="R63" s="27"/>
      <c r="S63" s="25"/>
      <c r="T63" s="26"/>
      <c r="U63" s="27"/>
      <c r="V63" s="25"/>
      <c r="W63" s="26"/>
      <c r="X63" s="27"/>
      <c r="Y63" s="48"/>
      <c r="Z63" s="1">
        <f>SUM(C63:J63)+M63</f>
        <v>0</v>
      </c>
      <c r="AA63" s="9">
        <f aca="true" t="shared" si="14" ref="AA63:AB66">SUM(K63)</f>
        <v>0</v>
      </c>
      <c r="AB63" s="1">
        <f t="shared" si="14"/>
        <v>0</v>
      </c>
      <c r="AC63" s="1">
        <f>SUM(C63:M63)</f>
        <v>0</v>
      </c>
    </row>
    <row r="64" spans="1:29" ht="12.75">
      <c r="A64" s="4">
        <v>720</v>
      </c>
      <c r="B64" s="2" t="s">
        <v>59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59"/>
      <c r="P64" s="25"/>
      <c r="Q64" s="26"/>
      <c r="R64" s="27"/>
      <c r="S64" s="25"/>
      <c r="T64" s="26"/>
      <c r="U64" s="27"/>
      <c r="V64" s="25"/>
      <c r="W64" s="26"/>
      <c r="X64" s="27"/>
      <c r="Y64" s="48"/>
      <c r="Z64" s="1">
        <f>SUM(C64:J64)+M64</f>
        <v>0</v>
      </c>
      <c r="AA64" s="9">
        <f t="shared" si="14"/>
        <v>0</v>
      </c>
      <c r="AB64" s="1">
        <f t="shared" si="14"/>
        <v>0</v>
      </c>
      <c r="AC64" s="1">
        <f>SUM(C64:M64)</f>
        <v>0</v>
      </c>
    </row>
    <row r="65" spans="1:29" ht="12.75">
      <c r="A65" s="4">
        <v>730</v>
      </c>
      <c r="B65" s="2" t="s">
        <v>19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59"/>
      <c r="P65" s="25"/>
      <c r="Q65" s="26"/>
      <c r="R65" s="27"/>
      <c r="S65" s="25"/>
      <c r="T65" s="26"/>
      <c r="U65" s="27"/>
      <c r="V65" s="25"/>
      <c r="W65" s="26"/>
      <c r="X65" s="27"/>
      <c r="Y65" s="48"/>
      <c r="Z65" s="1">
        <f>SUM(C65:J65)+M65</f>
        <v>0</v>
      </c>
      <c r="AA65" s="9">
        <f t="shared" si="14"/>
        <v>0</v>
      </c>
      <c r="AB65" s="1">
        <f t="shared" si="14"/>
        <v>0</v>
      </c>
      <c r="AC65" s="1">
        <f>SUM(C65:M65)</f>
        <v>0</v>
      </c>
    </row>
    <row r="66" spans="1:29" ht="12.75">
      <c r="A66" s="4">
        <v>740</v>
      </c>
      <c r="B66" s="2" t="s">
        <v>14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59"/>
      <c r="P66" s="25"/>
      <c r="Q66" s="26"/>
      <c r="R66" s="27"/>
      <c r="S66" s="25"/>
      <c r="T66" s="26"/>
      <c r="U66" s="27"/>
      <c r="V66" s="25"/>
      <c r="W66" s="26"/>
      <c r="X66" s="27"/>
      <c r="Y66" s="48"/>
      <c r="Z66" s="1">
        <f>SUM(C66:J66)+M66</f>
        <v>0</v>
      </c>
      <c r="AA66" s="9">
        <f t="shared" si="14"/>
        <v>0</v>
      </c>
      <c r="AB66" s="1">
        <f t="shared" si="14"/>
        <v>0</v>
      </c>
      <c r="AC66" s="1">
        <f>SUM(C66:M66)</f>
        <v>0</v>
      </c>
    </row>
    <row r="67" spans="1:29" ht="12.75">
      <c r="A67" s="4"/>
      <c r="B67" s="60" t="s">
        <v>17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59"/>
      <c r="P67" s="25"/>
      <c r="Q67" s="26"/>
      <c r="R67" s="27"/>
      <c r="S67" s="25"/>
      <c r="T67" s="26"/>
      <c r="U67" s="27"/>
      <c r="V67" s="25"/>
      <c r="W67" s="26"/>
      <c r="X67" s="27"/>
      <c r="Y67" s="49"/>
      <c r="Z67" s="1"/>
      <c r="AA67" s="9"/>
      <c r="AB67" s="1"/>
      <c r="AC67" s="1"/>
    </row>
    <row r="68" spans="1:29" ht="12.75">
      <c r="A68" s="57">
        <v>800</v>
      </c>
      <c r="B68" s="61" t="s">
        <v>15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5"/>
      <c r="P68" s="31"/>
      <c r="Q68" s="32"/>
      <c r="R68" s="33"/>
      <c r="S68" s="28"/>
      <c r="T68" s="29"/>
      <c r="U68" s="30"/>
      <c r="V68" s="28"/>
      <c r="W68" s="29"/>
      <c r="X68" s="30"/>
      <c r="Y68" s="50"/>
      <c r="Z68" s="1"/>
      <c r="AA68" s="9"/>
      <c r="AB68" s="1"/>
      <c r="AC68" s="1"/>
    </row>
    <row r="69" spans="1:29" ht="12.75">
      <c r="A69" s="4">
        <v>810</v>
      </c>
      <c r="B69" s="2" t="s">
        <v>16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59"/>
      <c r="P69" s="25"/>
      <c r="Q69" s="26"/>
      <c r="R69" s="27"/>
      <c r="S69" s="25"/>
      <c r="T69" s="26"/>
      <c r="U69" s="27"/>
      <c r="V69" s="25"/>
      <c r="W69" s="26"/>
      <c r="X69" s="27"/>
      <c r="Y69" s="48"/>
      <c r="Z69" s="1">
        <f>SUM(C69:J69)+M69</f>
        <v>0</v>
      </c>
      <c r="AA69" s="9">
        <f>SUM(K69)</f>
        <v>0</v>
      </c>
      <c r="AB69" s="1">
        <f>SUM(L69)</f>
        <v>0</v>
      </c>
      <c r="AC69" s="1">
        <f>SUM(C69:M69)</f>
        <v>0</v>
      </c>
    </row>
    <row r="70" spans="1:29" ht="12.75">
      <c r="A70" s="4">
        <v>820</v>
      </c>
      <c r="B70" s="66" t="s">
        <v>20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59"/>
      <c r="P70" s="25"/>
      <c r="Q70" s="26"/>
      <c r="R70" s="27"/>
      <c r="S70" s="25"/>
      <c r="T70" s="26"/>
      <c r="U70" s="27"/>
      <c r="V70" s="25"/>
      <c r="W70" s="26"/>
      <c r="X70" s="27"/>
      <c r="Y70" s="48"/>
      <c r="Z70" s="1">
        <f>SUM(C70:J70)+M70</f>
        <v>0</v>
      </c>
      <c r="AA70" s="9">
        <f>SUM(K70)</f>
        <v>0</v>
      </c>
      <c r="AB70" s="1">
        <f>SUM(L70)</f>
        <v>0</v>
      </c>
      <c r="AC70" s="1">
        <f>SUM(C70:M70)</f>
        <v>0</v>
      </c>
    </row>
    <row r="71" spans="1:29" ht="12.75">
      <c r="A71" s="4"/>
      <c r="B71" s="67" t="s">
        <v>17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59"/>
      <c r="P71" s="25"/>
      <c r="Q71" s="26"/>
      <c r="R71" s="27"/>
      <c r="S71" s="25"/>
      <c r="T71" s="26"/>
      <c r="U71" s="27"/>
      <c r="V71" s="25"/>
      <c r="W71" s="26"/>
      <c r="X71" s="27"/>
      <c r="Y71" s="49"/>
      <c r="Z71" s="1"/>
      <c r="AA71" s="9"/>
      <c r="AB71" s="1"/>
      <c r="AC71" s="1"/>
    </row>
    <row r="72" spans="1:29" ht="12.75">
      <c r="A72" s="4"/>
      <c r="B72" s="6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59"/>
      <c r="P72" s="25"/>
      <c r="Q72" s="26"/>
      <c r="R72" s="27"/>
      <c r="S72" s="25"/>
      <c r="T72" s="26"/>
      <c r="U72" s="27"/>
      <c r="V72" s="25"/>
      <c r="W72" s="26"/>
      <c r="X72" s="27"/>
      <c r="Y72" s="49"/>
      <c r="Z72" s="1"/>
      <c r="AA72" s="9"/>
      <c r="AB72" s="1"/>
      <c r="AC72" s="1"/>
    </row>
    <row r="73" spans="1:29" ht="15.75">
      <c r="A73" s="68"/>
      <c r="B73" s="100" t="s">
        <v>92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1"/>
      <c r="P73" s="34"/>
      <c r="Q73" s="35"/>
      <c r="R73" s="36"/>
      <c r="S73" s="34"/>
      <c r="T73" s="35"/>
      <c r="U73" s="36"/>
      <c r="V73" s="34"/>
      <c r="W73" s="35"/>
      <c r="X73" s="36"/>
      <c r="Y73" s="51">
        <v>75000</v>
      </c>
      <c r="Z73" s="16"/>
      <c r="AA73" s="17"/>
      <c r="AB73" s="16"/>
      <c r="AC73" s="16"/>
    </row>
    <row r="74" spans="1:29" ht="15.75">
      <c r="A74" s="68"/>
      <c r="B74" s="69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1"/>
      <c r="P74" s="34"/>
      <c r="Q74" s="35"/>
      <c r="R74" s="36"/>
      <c r="S74" s="34"/>
      <c r="T74" s="35"/>
      <c r="U74" s="36"/>
      <c r="V74" s="34"/>
      <c r="W74" s="35"/>
      <c r="X74" s="36"/>
      <c r="Y74" s="51"/>
      <c r="Z74" s="16"/>
      <c r="AA74" s="17"/>
      <c r="AB74" s="16"/>
      <c r="AC74" s="16"/>
    </row>
    <row r="75" spans="1:29" ht="15.75">
      <c r="A75" s="78"/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1"/>
      <c r="P75" s="82"/>
      <c r="Q75" s="83"/>
      <c r="R75" s="84"/>
      <c r="S75" s="82"/>
      <c r="T75" s="83"/>
      <c r="U75" s="84"/>
      <c r="V75" s="82"/>
      <c r="W75" s="83"/>
      <c r="X75" s="84"/>
      <c r="Y75" s="85"/>
      <c r="Z75" s="86"/>
      <c r="AA75" s="87"/>
      <c r="AB75" s="86"/>
      <c r="AC75" s="86"/>
    </row>
    <row r="76" spans="1:30" s="119" customFormat="1" ht="12.75">
      <c r="A76" s="109"/>
      <c r="B76" s="110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2"/>
      <c r="P76" s="97"/>
      <c r="Q76" s="98"/>
      <c r="R76" s="99"/>
      <c r="S76" s="97"/>
      <c r="T76" s="98"/>
      <c r="U76" s="99"/>
      <c r="V76" s="97"/>
      <c r="W76" s="98"/>
      <c r="X76" s="99"/>
      <c r="Y76" s="48"/>
      <c r="Z76" s="113"/>
      <c r="AB76" s="114"/>
      <c r="AC76" s="114"/>
      <c r="AD76" s="113">
        <f>Y76/$Y$81</f>
        <v>0</v>
      </c>
    </row>
    <row r="77" spans="1:30" s="119" customFormat="1" ht="12.75">
      <c r="A77" s="109"/>
      <c r="B77" s="110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2"/>
      <c r="P77" s="97"/>
      <c r="Q77" s="98"/>
      <c r="R77" s="99"/>
      <c r="S77" s="97"/>
      <c r="T77" s="98"/>
      <c r="U77" s="99"/>
      <c r="V77" s="97"/>
      <c r="W77" s="98"/>
      <c r="X77" s="99"/>
      <c r="Y77" s="48"/>
      <c r="Z77" s="113"/>
      <c r="AB77" s="114"/>
      <c r="AC77" s="114"/>
      <c r="AD77" s="113">
        <f>Y77/$Y$81</f>
        <v>0</v>
      </c>
    </row>
    <row r="78" spans="1:29" s="119" customFormat="1" ht="12.75">
      <c r="A78" s="109"/>
      <c r="B78" s="110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2"/>
      <c r="P78" s="97"/>
      <c r="Q78" s="98"/>
      <c r="R78" s="99"/>
      <c r="S78" s="97"/>
      <c r="T78" s="98"/>
      <c r="U78" s="99"/>
      <c r="V78" s="97"/>
      <c r="W78" s="98"/>
      <c r="X78" s="99"/>
      <c r="Y78" s="48"/>
      <c r="Z78" s="116">
        <f>SUM(C78:J78)+M78</f>
        <v>0</v>
      </c>
      <c r="AA78" s="117">
        <f>SUM(K78)</f>
        <v>0</v>
      </c>
      <c r="AB78" s="116">
        <f>SUM(L78)</f>
        <v>0</v>
      </c>
      <c r="AC78" s="116">
        <f>SUM(C78:M78)</f>
        <v>0</v>
      </c>
    </row>
    <row r="79" spans="1:29" s="119" customFormat="1" ht="12.75">
      <c r="A79" s="109"/>
      <c r="B79" s="110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2"/>
      <c r="P79" s="97"/>
      <c r="Q79" s="98"/>
      <c r="R79" s="99"/>
      <c r="S79" s="97"/>
      <c r="T79" s="98"/>
      <c r="U79" s="99"/>
      <c r="V79" s="97"/>
      <c r="W79" s="98"/>
      <c r="X79" s="99"/>
      <c r="Y79" s="48"/>
      <c r="Z79" s="116">
        <f>SUM(C79:J79)+M79</f>
        <v>0</v>
      </c>
      <c r="AA79" s="117">
        <f>SUM(K79)</f>
        <v>0</v>
      </c>
      <c r="AB79" s="116">
        <f>SUM(L79)</f>
        <v>0</v>
      </c>
      <c r="AC79" s="116">
        <f>SUM(C79:M79)</f>
        <v>0</v>
      </c>
    </row>
    <row r="80" spans="1:29" ht="16.5" thickBot="1">
      <c r="A80" s="89"/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106"/>
      <c r="P80" s="118"/>
      <c r="Q80" s="92"/>
      <c r="R80" s="104"/>
      <c r="S80" s="118"/>
      <c r="T80" s="92"/>
      <c r="U80" s="104"/>
      <c r="V80" s="118"/>
      <c r="W80" s="92"/>
      <c r="X80" s="104"/>
      <c r="Y80" s="105"/>
      <c r="Z80" s="16"/>
      <c r="AA80" s="17"/>
      <c r="AB80" s="16"/>
      <c r="AC80" s="16"/>
    </row>
    <row r="81" spans="1:29" ht="18.75" thickBot="1">
      <c r="A81" s="93"/>
      <c r="B81" s="94" t="s">
        <v>91</v>
      </c>
      <c r="C81" s="95">
        <f>C80+C73</f>
        <v>0</v>
      </c>
      <c r="D81" s="95">
        <f aca="true" t="shared" si="15" ref="D81:X81">D80+D73</f>
        <v>0</v>
      </c>
      <c r="E81" s="95">
        <f t="shared" si="15"/>
        <v>0</v>
      </c>
      <c r="F81" s="95">
        <f t="shared" si="15"/>
        <v>0</v>
      </c>
      <c r="G81" s="95">
        <f t="shared" si="15"/>
        <v>0</v>
      </c>
      <c r="H81" s="95">
        <f t="shared" si="15"/>
        <v>0</v>
      </c>
      <c r="I81" s="95">
        <f t="shared" si="15"/>
        <v>0</v>
      </c>
      <c r="J81" s="95">
        <f t="shared" si="15"/>
        <v>0</v>
      </c>
      <c r="K81" s="95">
        <f t="shared" si="15"/>
        <v>0</v>
      </c>
      <c r="L81" s="95">
        <f t="shared" si="15"/>
        <v>0</v>
      </c>
      <c r="M81" s="95">
        <f t="shared" si="15"/>
        <v>0</v>
      </c>
      <c r="N81" s="95">
        <f t="shared" si="15"/>
        <v>0</v>
      </c>
      <c r="O81" s="95">
        <f t="shared" si="15"/>
        <v>0</v>
      </c>
      <c r="P81" s="108">
        <f t="shared" si="15"/>
        <v>0</v>
      </c>
      <c r="Q81" s="96">
        <f t="shared" si="15"/>
        <v>0</v>
      </c>
      <c r="R81" s="96">
        <f t="shared" si="15"/>
        <v>0</v>
      </c>
      <c r="S81" s="108">
        <f t="shared" si="15"/>
        <v>0</v>
      </c>
      <c r="T81" s="96">
        <f t="shared" si="15"/>
        <v>0</v>
      </c>
      <c r="U81" s="96">
        <f t="shared" si="15"/>
        <v>0</v>
      </c>
      <c r="V81" s="108">
        <f t="shared" si="15"/>
        <v>0</v>
      </c>
      <c r="W81" s="96">
        <f t="shared" si="15"/>
        <v>0</v>
      </c>
      <c r="X81" s="96">
        <f t="shared" si="15"/>
        <v>0</v>
      </c>
      <c r="Y81" s="107">
        <f>Y31+Y51+Y73</f>
        <v>465210.90528</v>
      </c>
      <c r="Z81" s="14">
        <f>SUM(Z13:Z79)</f>
        <v>1539</v>
      </c>
      <c r="AA81" s="14">
        <f>SUM(AA13:AA79)</f>
        <v>250</v>
      </c>
      <c r="AB81" s="14">
        <f>SUM(AB13:AB79)</f>
        <v>118</v>
      </c>
      <c r="AC81" s="14">
        <f>SUM(AC13:AC79)</f>
        <v>1907</v>
      </c>
    </row>
    <row r="82" spans="1:29" ht="18.75" thickBot="1">
      <c r="A82" s="123"/>
      <c r="B82" s="124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6"/>
      <c r="Q82" s="126"/>
      <c r="R82" s="126"/>
      <c r="S82" s="127"/>
      <c r="T82" s="127"/>
      <c r="U82" s="127"/>
      <c r="V82" s="127"/>
      <c r="W82" s="127"/>
      <c r="X82" s="127"/>
      <c r="Y82" s="127"/>
      <c r="Z82" s="14"/>
      <c r="AA82" s="14"/>
      <c r="AB82" s="14"/>
      <c r="AC82" s="14"/>
    </row>
    <row r="83" spans="4:24" ht="12.75">
      <c r="D83">
        <v>0.5</v>
      </c>
      <c r="P83" s="156" t="s">
        <v>29</v>
      </c>
      <c r="Q83" s="156"/>
      <c r="R83" s="156"/>
      <c r="S83" s="154" t="s">
        <v>68</v>
      </c>
      <c r="T83" s="154"/>
      <c r="U83" s="154"/>
      <c r="V83" s="154" t="s">
        <v>69</v>
      </c>
      <c r="W83" s="154"/>
      <c r="X83" s="154"/>
    </row>
    <row r="84" spans="16:26" ht="12.75">
      <c r="P84" t="s">
        <v>74</v>
      </c>
      <c r="Q84" t="s">
        <v>75</v>
      </c>
      <c r="R84" t="s">
        <v>55</v>
      </c>
      <c r="Y84" t="s">
        <v>76</v>
      </c>
      <c r="Z84" t="s">
        <v>77</v>
      </c>
    </row>
    <row r="85" spans="2:26" ht="12.75">
      <c r="B85" s="10" t="s">
        <v>71</v>
      </c>
      <c r="C85" s="121">
        <f>(C31+C51)*C$6</f>
        <v>4429.824</v>
      </c>
      <c r="D85" s="121">
        <f>(D31+D51)*D$6+D83*F90</f>
        <v>40862.4</v>
      </c>
      <c r="E85" s="121">
        <f aca="true" t="shared" si="16" ref="E85:M85">(E31+E51)*E$6</f>
        <v>33800</v>
      </c>
      <c r="F85" s="120">
        <f>(1-$D$83)*F90</f>
        <v>31416</v>
      </c>
      <c r="G85" s="121">
        <f t="shared" si="16"/>
        <v>17540.800000000003</v>
      </c>
      <c r="H85" s="121">
        <f t="shared" si="16"/>
        <v>47558.016</v>
      </c>
      <c r="I85" s="121">
        <f t="shared" si="16"/>
        <v>29577.600000000002</v>
      </c>
      <c r="J85" s="121">
        <f t="shared" si="16"/>
        <v>1408</v>
      </c>
      <c r="K85" s="121"/>
      <c r="L85" s="121"/>
      <c r="M85" s="121">
        <f t="shared" si="16"/>
        <v>4254.72</v>
      </c>
      <c r="N85" s="121">
        <f>(N31+N51)*N$6*Z81/$AC$81</f>
        <v>14646.566963817513</v>
      </c>
      <c r="O85" s="121">
        <f>(O31+O51)*O$6*Z81/$AC$81</f>
        <v>6035.268799160986</v>
      </c>
      <c r="P85" s="120">
        <f>SUM(C85:O85)</f>
        <v>231529.19576297852</v>
      </c>
      <c r="Q85" s="120">
        <f>Q31+Q51</f>
        <v>20055.75308310864</v>
      </c>
      <c r="R85" s="120">
        <f>Q85+P85</f>
        <v>251584.94884608715</v>
      </c>
      <c r="S85" s="120">
        <f>C85+F85+H85+I85+J85+0.5*(M85+N85+O85)</f>
        <v>126857.71788148925</v>
      </c>
      <c r="T85" s="128">
        <f>Q85*$Z$85</f>
        <v>5013.93827077716</v>
      </c>
      <c r="U85" s="128">
        <f>T85+S85</f>
        <v>131871.65615226643</v>
      </c>
      <c r="V85" s="120">
        <f>D85+E85+G85+$Y$85*(M85+N85+O85)</f>
        <v>104671.47788148925</v>
      </c>
      <c r="W85" s="129">
        <f>Q85*(1-$Z$85)</f>
        <v>15041.81481233148</v>
      </c>
      <c r="X85" s="128">
        <f>W85+V85</f>
        <v>119713.29269382072</v>
      </c>
      <c r="Y85">
        <v>0.5</v>
      </c>
      <c r="Z85">
        <v>0.25</v>
      </c>
    </row>
    <row r="86" spans="1:24" ht="12.75">
      <c r="A86">
        <v>0.5</v>
      </c>
      <c r="B86" s="10" t="s">
        <v>70</v>
      </c>
      <c r="C86" s="121">
        <f>C85+($A$86*C81)*C6</f>
        <v>4429.824</v>
      </c>
      <c r="D86" s="121">
        <f>D85+($A$86*D81)*D6+D83*(F91-F90)</f>
        <v>40862.4</v>
      </c>
      <c r="E86" s="121">
        <f>E85+($A$86*E81)*E6</f>
        <v>33800</v>
      </c>
      <c r="F86" s="120">
        <f>(1-$D$83)*F91</f>
        <v>31416</v>
      </c>
      <c r="G86" s="121">
        <f>G85+($A$86*G81)*G6</f>
        <v>17540.800000000003</v>
      </c>
      <c r="H86" s="121">
        <f>H85+($A$86*H81)*H6</f>
        <v>47558.016</v>
      </c>
      <c r="I86" s="121">
        <f>I85+($A$86*I81)*I6</f>
        <v>29577.600000000002</v>
      </c>
      <c r="J86" s="121">
        <f>J85+($A$86*J81)*J6</f>
        <v>1408</v>
      </c>
      <c r="K86" s="121"/>
      <c r="L86" s="121"/>
      <c r="M86" s="121">
        <f>M85+($A$86*M81)*M6</f>
        <v>4254.72</v>
      </c>
      <c r="N86" s="121">
        <f>N85+($A$86*N81)*N6*Z81/$AC$81</f>
        <v>14646.566963817513</v>
      </c>
      <c r="O86" s="121">
        <f>O85+($A$86*O81)*O6*Z81/$AC$81</f>
        <v>6035.268799160986</v>
      </c>
      <c r="P86" s="120">
        <f>SUM(C86:O86)</f>
        <v>231529.19576297852</v>
      </c>
      <c r="Q86" s="120">
        <f>Q85+A86*Q81</f>
        <v>20055.75308310864</v>
      </c>
      <c r="R86" s="120">
        <f>Q86+P86</f>
        <v>251584.94884608715</v>
      </c>
      <c r="S86" s="120">
        <f>C86+F86+H86+I86+J86+0.5*(M86+N86+O86)</f>
        <v>126857.71788148925</v>
      </c>
      <c r="T86" s="128">
        <f>Q86*$Z$85</f>
        <v>5013.93827077716</v>
      </c>
      <c r="U86" s="128">
        <f>T86+S86</f>
        <v>131871.65615226643</v>
      </c>
      <c r="V86" s="120">
        <f>D86+E86+G86+$Y$85*(M86+N86+O86)</f>
        <v>104671.47788148925</v>
      </c>
      <c r="W86" s="129">
        <f>Q86*(1-$Z$85)</f>
        <v>15041.81481233148</v>
      </c>
      <c r="X86" s="128">
        <f>W86+V86</f>
        <v>119713.29269382072</v>
      </c>
    </row>
    <row r="87" spans="2:24" ht="12.75">
      <c r="B87" s="10" t="s">
        <v>72</v>
      </c>
      <c r="C87" s="121">
        <f>C39*C6</f>
        <v>0</v>
      </c>
      <c r="D87" s="121">
        <f>D39*D6+D83*F92</f>
        <v>0</v>
      </c>
      <c r="E87" s="121">
        <f aca="true" t="shared" si="17" ref="E87:M87">E39*E6</f>
        <v>0</v>
      </c>
      <c r="F87" s="120">
        <f>(1-$D$83)*F92</f>
        <v>0</v>
      </c>
      <c r="G87" s="121">
        <f t="shared" si="17"/>
        <v>0</v>
      </c>
      <c r="H87" s="121">
        <f t="shared" si="17"/>
        <v>0</v>
      </c>
      <c r="I87" s="121">
        <f t="shared" si="17"/>
        <v>0</v>
      </c>
      <c r="J87" s="121">
        <f t="shared" si="17"/>
        <v>0</v>
      </c>
      <c r="K87" s="121"/>
      <c r="L87" s="121"/>
      <c r="M87" s="121">
        <f t="shared" si="17"/>
        <v>0</v>
      </c>
      <c r="N87" s="121">
        <f>N39*N6*Z81/$AC$81</f>
        <v>0</v>
      </c>
      <c r="O87" s="121">
        <f>O39*O6*Z81/$AC$81</f>
        <v>0</v>
      </c>
      <c r="P87" s="120">
        <f>SUM(C87:O87)</f>
        <v>0</v>
      </c>
      <c r="Q87" s="120">
        <f>Q39</f>
        <v>0</v>
      </c>
      <c r="R87" s="120">
        <f>Q87+P87</f>
        <v>0</v>
      </c>
      <c r="S87" s="120">
        <f>C87+F87+H87+I87+J87+0.5*(M87+N87+O87)</f>
        <v>0</v>
      </c>
      <c r="T87" s="128">
        <f>Q87*$Z$85</f>
        <v>0</v>
      </c>
      <c r="U87" s="128">
        <f>T87+S87</f>
        <v>0</v>
      </c>
      <c r="V87" s="120">
        <f>D87+E87+G87+$Y$85*(M87+N87+O87)</f>
        <v>0</v>
      </c>
      <c r="W87" s="129">
        <f>Q87*(1-$Z$85)</f>
        <v>0</v>
      </c>
      <c r="X87" s="128">
        <f>W87+V87</f>
        <v>0</v>
      </c>
    </row>
    <row r="88" spans="2:24" ht="12.75">
      <c r="B88" s="10" t="s">
        <v>73</v>
      </c>
      <c r="C88" s="121">
        <f>C87+(1-$A$86)*C81*C6</f>
        <v>0</v>
      </c>
      <c r="D88" s="121">
        <f>D87+(1-$A$86)*D81*D6+D83*(F93-F92)</f>
        <v>0</v>
      </c>
      <c r="E88" s="121">
        <f>E87+(1-$A$86)*E81*E6</f>
        <v>0</v>
      </c>
      <c r="F88" s="120">
        <f>(1-$D$83)*F93</f>
        <v>0</v>
      </c>
      <c r="G88" s="121">
        <f>G87+(1-$A$86)*G81*G6</f>
        <v>0</v>
      </c>
      <c r="H88" s="121">
        <f>H87+(1-$A$86)*H81*H6</f>
        <v>0</v>
      </c>
      <c r="I88" s="121">
        <f>I87+(1-$A$86)*I81*I6</f>
        <v>0</v>
      </c>
      <c r="J88" s="121">
        <f>J87+(1-$A$86)*J81*J6</f>
        <v>0</v>
      </c>
      <c r="K88" s="121"/>
      <c r="L88" s="121"/>
      <c r="M88" s="121">
        <f>M87+(1-$A$86)*M81*M6</f>
        <v>0</v>
      </c>
      <c r="N88" s="121">
        <f>N87+(1-$A$86)*N81*N6*Z81/$AC$81</f>
        <v>0</v>
      </c>
      <c r="O88" s="121">
        <f>O87+(1-$A$86)*O81*O6*Z81/$AC$81</f>
        <v>0</v>
      </c>
      <c r="P88" s="120">
        <f>SUM(C88:O88)</f>
        <v>0</v>
      </c>
      <c r="Q88" s="122">
        <f>Q87+(1-$A$86)*Q81</f>
        <v>0</v>
      </c>
      <c r="R88" s="120">
        <f>Q88+P88</f>
        <v>0</v>
      </c>
      <c r="S88" s="120">
        <f>C88+F88+H88+I88+J88+0.5*(M88+N88+O88)</f>
        <v>0</v>
      </c>
      <c r="T88" s="128">
        <f>Q88*$Z$85</f>
        <v>0</v>
      </c>
      <c r="U88" s="128">
        <f>T88+S88</f>
        <v>0</v>
      </c>
      <c r="V88" s="120">
        <f>D88+E88+G88+$Y$85*(M88+N88+O88)</f>
        <v>0</v>
      </c>
      <c r="W88" s="129">
        <f>Q88*(1-$Z$85)</f>
        <v>0</v>
      </c>
      <c r="X88" s="128">
        <f>W88+V88</f>
        <v>0</v>
      </c>
    </row>
    <row r="90" ht="12.75">
      <c r="F90" s="121">
        <f>(F31+F51)*F$6</f>
        <v>62832</v>
      </c>
    </row>
    <row r="91" ht="12.75">
      <c r="F91" s="121">
        <f>F90+($A$86*F81)*F6</f>
        <v>62832</v>
      </c>
    </row>
    <row r="92" ht="12.75">
      <c r="F92" s="121">
        <f>F39*F6</f>
        <v>0</v>
      </c>
    </row>
    <row r="93" ht="12.75">
      <c r="F93" s="121">
        <f>F92+(1-$A$86)*F81*F6</f>
        <v>0</v>
      </c>
    </row>
  </sheetData>
  <mergeCells count="10">
    <mergeCell ref="S83:U83"/>
    <mergeCell ref="V83:X83"/>
    <mergeCell ref="P83:R83"/>
    <mergeCell ref="A1:Y1"/>
    <mergeCell ref="A2:Y2"/>
    <mergeCell ref="C9:O9"/>
    <mergeCell ref="P9:R9"/>
    <mergeCell ref="S9:U9"/>
    <mergeCell ref="V9:X9"/>
    <mergeCell ref="A3:Y3"/>
  </mergeCells>
  <printOptions horizontalCentered="1" verticalCentered="1"/>
  <pageMargins left="0.75" right="0.75" top="1" bottom="1" header="0.5" footer="0.5"/>
  <pageSetup fitToHeight="1" fitToWidth="1" horizontalDpi="600" verticalDpi="600" orientation="landscape" paperSize="17" scale="57" r:id="rId1"/>
  <headerFooter alignWithMargins="0">
    <oddHeader>&amp;L&amp;F</oddHeader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HDR Engineering,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saclark</dc:creator>
  <cp:keywords/>
  <dc:description/>
  <cp:lastModifiedBy> </cp:lastModifiedBy>
  <cp:lastPrinted>2002-08-02T22:31:24Z</cp:lastPrinted>
  <dcterms:created xsi:type="dcterms:W3CDTF">2000-09-21T16:10:02Z</dcterms:created>
  <dcterms:modified xsi:type="dcterms:W3CDTF">2007-03-12T22:24:02Z</dcterms:modified>
  <cp:category/>
  <cp:version/>
  <cp:contentType/>
  <cp:contentStatus/>
</cp:coreProperties>
</file>